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FLAVIA\Desktop\UBS DE CONSELVAN\"/>
    </mc:Choice>
  </mc:AlternateContent>
  <xr:revisionPtr revIDLastSave="0" documentId="13_ncr:1_{55B458B4-C5F3-488E-B9B5-37D95E2A4C30}" xr6:coauthVersionLast="47" xr6:coauthVersionMax="47" xr10:uidLastSave="{00000000-0000-0000-0000-000000000000}"/>
  <bookViews>
    <workbookView xWindow="-120" yWindow="-120" windowWidth="24240" windowHeight="13020" tabRatio="768" activeTab="9" xr2:uid="{00000000-000D-0000-FFFF-FFFF00000000}"/>
  </bookViews>
  <sheets>
    <sheet name="RESUMO" sheetId="3" r:id="rId1"/>
    <sheet name="COTAÇÕES" sheetId="16" r:id="rId2"/>
    <sheet name="BDI" sheetId="13" r:id="rId3"/>
    <sheet name="MEMO CÁLCULO" sheetId="1" r:id="rId4"/>
    <sheet name="PLANILHA ORÇAMENTÁRIA" sheetId="2" r:id="rId5"/>
    <sheet name="PMA CIV" sheetId="4" r:id="rId6"/>
    <sheet name="PMA ESQ" sheetId="12" r:id="rId7"/>
    <sheet name="PMA HID" sheetId="9" r:id="rId8"/>
    <sheet name="PMA ELE" sheetId="15" r:id="rId9"/>
    <sheet name="CRONOGRAMA" sheetId="7" r:id="rId10"/>
    <sheet name="Plan1" sheetId="5" state="hidden" r:id="rId11"/>
    <sheet name="Plan2" sheetId="6" state="hidden" r:id="rId12"/>
  </sheets>
  <definedNames>
    <definedName name="_xlnm.Print_Area" localSheetId="2">BDI!$B$3:$D$38</definedName>
    <definedName name="_xlnm.Print_Area" localSheetId="1">COTAÇÕES!$B$2:$J$99</definedName>
    <definedName name="_xlnm.Print_Area" localSheetId="9">CRONOGRAMA!$B$4:$M$58</definedName>
    <definedName name="_xlnm.Print_Area" localSheetId="3">'MEMO CÁLCULO'!$B$1:$J$462</definedName>
    <definedName name="_xlnm.Print_Area" localSheetId="4">'PLANILHA ORÇAMENTÁRIA'!$B$3:$I$463</definedName>
    <definedName name="_xlnm.Print_Area" localSheetId="5">'PMA CIV'!$B$3:$H$123</definedName>
    <definedName name="_xlnm.Print_Area" localSheetId="8">'PMA ELE'!$B$3:$H$466</definedName>
    <definedName name="_xlnm.Print_Area" localSheetId="6">'PMA ESQ'!$B$3:$H$304</definedName>
    <definedName name="_xlnm.Print_Area" localSheetId="7">'PMA HID'!$B$3:$H$203</definedName>
    <definedName name="_xlnm.Print_Area" localSheetId="0">RESUMO!$B$4:$E$36</definedName>
  </definedNames>
  <calcPr calcId="191029" fullPrecision="0"/>
</workbook>
</file>

<file path=xl/calcChain.xml><?xml version="1.0" encoding="utf-8"?>
<calcChain xmlns="http://schemas.openxmlformats.org/spreadsheetml/2006/main">
  <c r="C7" i="7" l="1"/>
  <c r="H6" i="2"/>
  <c r="I451" i="2"/>
  <c r="I407" i="2"/>
  <c r="G386" i="15" l="1"/>
  <c r="G385" i="15"/>
  <c r="G332" i="15"/>
  <c r="G305" i="2"/>
  <c r="G142" i="15"/>
  <c r="G141" i="15"/>
  <c r="H31" i="15"/>
  <c r="H24" i="15"/>
  <c r="H17" i="15"/>
  <c r="H160" i="9"/>
  <c r="H75" i="9"/>
  <c r="H15" i="9"/>
  <c r="I145" i="2"/>
  <c r="G136" i="2"/>
  <c r="H297" i="12"/>
  <c r="G288" i="12"/>
  <c r="H286" i="12"/>
  <c r="H264" i="12"/>
  <c r="G266" i="12"/>
  <c r="H231" i="12"/>
  <c r="H226" i="12"/>
  <c r="H204" i="12"/>
  <c r="H185" i="12"/>
  <c r="H176" i="12"/>
  <c r="H159" i="12"/>
  <c r="H171" i="12"/>
  <c r="H99" i="12"/>
  <c r="H114" i="12"/>
  <c r="H51" i="12"/>
  <c r="H21" i="12"/>
  <c r="H18" i="12"/>
  <c r="I113" i="2"/>
  <c r="I118" i="2"/>
  <c r="I111" i="2"/>
  <c r="H106" i="2"/>
  <c r="I100" i="2"/>
  <c r="I99" i="2"/>
  <c r="I98" i="2"/>
  <c r="I104" i="2"/>
  <c r="H119" i="4"/>
  <c r="H18" i="4"/>
  <c r="G12" i="2" s="1"/>
  <c r="H27" i="4"/>
  <c r="G98" i="2" s="1"/>
  <c r="I26" i="2"/>
  <c r="I44" i="2"/>
  <c r="I67" i="2"/>
  <c r="H4" i="2"/>
  <c r="H4" i="1" s="1"/>
  <c r="H194" i="9"/>
  <c r="H195" i="9"/>
  <c r="H183" i="9"/>
  <c r="H184" i="9"/>
  <c r="H185" i="9"/>
  <c r="H182" i="9"/>
  <c r="G196" i="9"/>
  <c r="H196" i="9" s="1"/>
  <c r="G193" i="9"/>
  <c r="H193" i="9" s="1"/>
  <c r="G192" i="9"/>
  <c r="H192" i="9" s="1"/>
  <c r="D209" i="2"/>
  <c r="D209" i="1" s="1"/>
  <c r="C209" i="2"/>
  <c r="D205" i="2"/>
  <c r="C205" i="2"/>
  <c r="C205" i="1" s="1"/>
  <c r="D12" i="2"/>
  <c r="D344" i="2"/>
  <c r="G341" i="15"/>
  <c r="G308" i="15"/>
  <c r="G284" i="15"/>
  <c r="B255" i="15"/>
  <c r="G180" i="15"/>
  <c r="H117" i="15"/>
  <c r="G116" i="15"/>
  <c r="G136" i="15" s="1"/>
  <c r="G113" i="15"/>
  <c r="G133" i="15" s="1"/>
  <c r="G112" i="15"/>
  <c r="G132" i="15" s="1"/>
  <c r="G60" i="15"/>
  <c r="G30" i="15"/>
  <c r="G37" i="15" s="1"/>
  <c r="G29" i="15"/>
  <c r="G36" i="15" s="1"/>
  <c r="H464" i="15"/>
  <c r="G189" i="12"/>
  <c r="G203" i="12" s="1"/>
  <c r="G188" i="12"/>
  <c r="G202" i="12" s="1"/>
  <c r="G113" i="12"/>
  <c r="G128" i="12" s="1"/>
  <c r="G143" i="12" s="1"/>
  <c r="G158" i="12" s="1"/>
  <c r="G112" i="12"/>
  <c r="G127" i="12" s="1"/>
  <c r="G142" i="12" s="1"/>
  <c r="G157" i="12" s="1"/>
  <c r="G111" i="12"/>
  <c r="G126" i="12" s="1"/>
  <c r="G141" i="12" s="1"/>
  <c r="G156" i="12" s="1"/>
  <c r="G110" i="12"/>
  <c r="G125" i="12" s="1"/>
  <c r="G140" i="12" s="1"/>
  <c r="G155" i="12" s="1"/>
  <c r="G109" i="12"/>
  <c r="G124" i="12" s="1"/>
  <c r="G139" i="12" s="1"/>
  <c r="G154" i="12" s="1"/>
  <c r="G108" i="12"/>
  <c r="G123" i="12" s="1"/>
  <c r="G138" i="12" s="1"/>
  <c r="G153" i="12" s="1"/>
  <c r="G107" i="12"/>
  <c r="G122" i="12" s="1"/>
  <c r="G137" i="12" s="1"/>
  <c r="G152" i="12" s="1"/>
  <c r="G106" i="12"/>
  <c r="G121" i="12" s="1"/>
  <c r="G136" i="12" s="1"/>
  <c r="G151" i="12" s="1"/>
  <c r="F58" i="12"/>
  <c r="F48" i="12"/>
  <c r="F38" i="12"/>
  <c r="G432" i="2"/>
  <c r="G319" i="2"/>
  <c r="G320" i="2"/>
  <c r="G318" i="2"/>
  <c r="G298" i="2"/>
  <c r="G278" i="2"/>
  <c r="G279" i="2" s="1"/>
  <c r="G280" i="2" s="1"/>
  <c r="G281" i="2" s="1"/>
  <c r="G273" i="2"/>
  <c r="G274" i="2" s="1"/>
  <c r="G275" i="2" s="1"/>
  <c r="G276" i="2" s="1"/>
  <c r="D214" i="1"/>
  <c r="D215" i="1"/>
  <c r="C214" i="1"/>
  <c r="C215" i="1"/>
  <c r="B214" i="1"/>
  <c r="B215" i="1"/>
  <c r="D224" i="1"/>
  <c r="C224" i="1"/>
  <c r="B224" i="1"/>
  <c r="D172" i="1"/>
  <c r="C172" i="1"/>
  <c r="B172" i="1"/>
  <c r="D171" i="1"/>
  <c r="C171" i="1"/>
  <c r="B171" i="1"/>
  <c r="F221" i="2"/>
  <c r="F222" i="2"/>
  <c r="F223" i="2"/>
  <c r="F218" i="2"/>
  <c r="F219" i="2"/>
  <c r="F220" i="2"/>
  <c r="F217" i="2"/>
  <c r="F208" i="2"/>
  <c r="F209" i="2"/>
  <c r="F210" i="2"/>
  <c r="F211" i="2"/>
  <c r="F212" i="2"/>
  <c r="F213" i="2"/>
  <c r="F203" i="2"/>
  <c r="F204" i="2"/>
  <c r="F205" i="2"/>
  <c r="F206" i="2"/>
  <c r="F207" i="2"/>
  <c r="F199" i="2"/>
  <c r="F200" i="2"/>
  <c r="F201" i="2"/>
  <c r="F202" i="2"/>
  <c r="F195" i="2"/>
  <c r="F196" i="2"/>
  <c r="F197" i="2"/>
  <c r="F198" i="2"/>
  <c r="F194" i="2"/>
  <c r="D223" i="1"/>
  <c r="C223" i="1"/>
  <c r="B223" i="1"/>
  <c r="D217" i="1"/>
  <c r="D218" i="1"/>
  <c r="D219" i="1"/>
  <c r="D220" i="1"/>
  <c r="D221" i="1"/>
  <c r="D222" i="1"/>
  <c r="C218" i="1"/>
  <c r="C219" i="1"/>
  <c r="C220" i="1"/>
  <c r="C221" i="1"/>
  <c r="C222" i="1"/>
  <c r="C217" i="1"/>
  <c r="D212" i="1"/>
  <c r="C212" i="1"/>
  <c r="B211" i="1"/>
  <c r="B212" i="1"/>
  <c r="B213" i="1"/>
  <c r="D203" i="1"/>
  <c r="D204" i="1"/>
  <c r="D205" i="1"/>
  <c r="D206" i="1"/>
  <c r="D207" i="1"/>
  <c r="D208" i="1"/>
  <c r="D210" i="1"/>
  <c r="D211" i="1"/>
  <c r="D213" i="1"/>
  <c r="C203" i="1"/>
  <c r="C204" i="1"/>
  <c r="C206" i="1"/>
  <c r="C207" i="1"/>
  <c r="C208" i="1"/>
  <c r="C209" i="1"/>
  <c r="C210" i="1"/>
  <c r="C211" i="1"/>
  <c r="C213" i="1"/>
  <c r="C199" i="1"/>
  <c r="C200" i="1"/>
  <c r="C201" i="1"/>
  <c r="C202" i="1"/>
  <c r="D195" i="1"/>
  <c r="D196" i="1"/>
  <c r="D197" i="1"/>
  <c r="D198" i="1"/>
  <c r="D199" i="1"/>
  <c r="D200" i="1"/>
  <c r="D201" i="1"/>
  <c r="D202" i="1"/>
  <c r="D194" i="1"/>
  <c r="B219" i="1"/>
  <c r="B220" i="1"/>
  <c r="B221" i="1"/>
  <c r="B222" i="1"/>
  <c r="B204" i="1"/>
  <c r="B205" i="1"/>
  <c r="B206" i="1"/>
  <c r="B207" i="1"/>
  <c r="B208" i="1"/>
  <c r="B209" i="1"/>
  <c r="B210" i="1"/>
  <c r="B217" i="1"/>
  <c r="B218" i="1"/>
  <c r="C192" i="1"/>
  <c r="C194" i="1"/>
  <c r="C195" i="1"/>
  <c r="C196" i="1"/>
  <c r="C197" i="1"/>
  <c r="C198" i="1"/>
  <c r="B191" i="1"/>
  <c r="B192" i="1"/>
  <c r="B194" i="1"/>
  <c r="B195" i="1"/>
  <c r="B196" i="1"/>
  <c r="B197" i="1"/>
  <c r="B198" i="1"/>
  <c r="B199" i="1"/>
  <c r="B200" i="1"/>
  <c r="B201" i="1"/>
  <c r="B202" i="1"/>
  <c r="B203" i="1"/>
  <c r="B185" i="1"/>
  <c r="B186" i="1"/>
  <c r="B187" i="1"/>
  <c r="B188" i="1"/>
  <c r="B189" i="1"/>
  <c r="B190" i="1"/>
  <c r="D243" i="1"/>
  <c r="D244" i="1"/>
  <c r="D245" i="1"/>
  <c r="D246" i="1"/>
  <c r="D247" i="1"/>
  <c r="D248" i="1"/>
  <c r="D238" i="1"/>
  <c r="D239" i="1"/>
  <c r="D240" i="1"/>
  <c r="D241" i="1"/>
  <c r="D242" i="1"/>
  <c r="D228" i="1"/>
  <c r="D229" i="1"/>
  <c r="D230" i="1"/>
  <c r="D231" i="1"/>
  <c r="D232" i="1"/>
  <c r="D233" i="1"/>
  <c r="D234" i="1"/>
  <c r="D235" i="1"/>
  <c r="D236" i="1"/>
  <c r="D237" i="1"/>
  <c r="B175" i="1"/>
  <c r="C175" i="1"/>
  <c r="B176" i="1"/>
  <c r="B177" i="1"/>
  <c r="B178" i="1"/>
  <c r="C178" i="1"/>
  <c r="B179" i="1"/>
  <c r="B180" i="1"/>
  <c r="B181" i="1"/>
  <c r="C181" i="1"/>
  <c r="B182" i="1"/>
  <c r="C182" i="1"/>
  <c r="B183" i="1"/>
  <c r="C183" i="1"/>
  <c r="B184" i="1"/>
  <c r="C184" i="1"/>
  <c r="C186" i="1"/>
  <c r="C188" i="1"/>
  <c r="C189" i="1"/>
  <c r="C190" i="1"/>
  <c r="C191" i="1"/>
  <c r="D175" i="1"/>
  <c r="D176" i="1"/>
  <c r="D177" i="1"/>
  <c r="D178" i="1"/>
  <c r="D179" i="1"/>
  <c r="D180" i="1"/>
  <c r="D181" i="1"/>
  <c r="C174" i="1"/>
  <c r="D174" i="1"/>
  <c r="B174" i="1"/>
  <c r="I19" i="1"/>
  <c r="F19" i="2" s="1"/>
  <c r="C19" i="1"/>
  <c r="D19" i="1"/>
  <c r="B19" i="1"/>
  <c r="G230" i="12" l="1"/>
  <c r="G244" i="12" s="1"/>
  <c r="G249" i="12" s="1"/>
  <c r="G210" i="12"/>
  <c r="G209" i="12"/>
  <c r="G229" i="12"/>
  <c r="G243" i="12" s="1"/>
  <c r="C31" i="3"/>
  <c r="B31" i="3"/>
  <c r="C30" i="3"/>
  <c r="C50" i="7" s="1"/>
  <c r="B30" i="3"/>
  <c r="B50" i="7" s="1"/>
  <c r="G457" i="2"/>
  <c r="I457" i="1"/>
  <c r="F457" i="2" s="1"/>
  <c r="I456" i="1"/>
  <c r="F456" i="2" s="1"/>
  <c r="I454" i="1"/>
  <c r="F454" i="2" s="1"/>
  <c r="I453" i="1"/>
  <c r="F453" i="2" s="1"/>
  <c r="G456" i="2"/>
  <c r="I455" i="1"/>
  <c r="F455" i="2" s="1"/>
  <c r="I418" i="1"/>
  <c r="D334" i="1"/>
  <c r="D335" i="1"/>
  <c r="D336" i="1"/>
  <c r="C334" i="1"/>
  <c r="C335" i="1"/>
  <c r="C336" i="1"/>
  <c r="B334" i="1"/>
  <c r="B335" i="1"/>
  <c r="B336" i="1"/>
  <c r="F4" i="12"/>
  <c r="F4" i="4" s="1"/>
  <c r="F4" i="9" s="1"/>
  <c r="B342" i="1"/>
  <c r="B343" i="1"/>
  <c r="B344" i="1"/>
  <c r="B339" i="1"/>
  <c r="B340" i="1"/>
  <c r="B341" i="1"/>
  <c r="B333" i="1"/>
  <c r="B337" i="1"/>
  <c r="B338" i="1"/>
  <c r="B329" i="1"/>
  <c r="B330" i="1"/>
  <c r="B331" i="1"/>
  <c r="B332"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C242" i="1"/>
  <c r="B242" i="1"/>
  <c r="C238" i="1"/>
  <c r="C239" i="1"/>
  <c r="C240" i="1"/>
  <c r="C241" i="1"/>
  <c r="C243" i="1"/>
  <c r="C244" i="1"/>
  <c r="C245" i="1"/>
  <c r="B243" i="1"/>
  <c r="B241" i="1"/>
  <c r="B240" i="1"/>
  <c r="B239" i="1"/>
  <c r="B238" i="1"/>
  <c r="F245" i="2"/>
  <c r="C3" i="13"/>
  <c r="C93" i="4"/>
  <c r="C94" i="4"/>
  <c r="J454" i="1" l="1"/>
  <c r="J455" i="1"/>
  <c r="J456" i="1"/>
  <c r="J457" i="1"/>
  <c r="J453" i="1"/>
  <c r="G92" i="4"/>
  <c r="H92" i="4" s="1"/>
  <c r="G91" i="4"/>
  <c r="H91" i="4" s="1"/>
  <c r="H83" i="4"/>
  <c r="H85" i="4"/>
  <c r="C81" i="4"/>
  <c r="C80" i="4"/>
  <c r="D94" i="16"/>
  <c r="D92" i="16"/>
  <c r="D90" i="16"/>
  <c r="J94" i="16"/>
  <c r="J92" i="16"/>
  <c r="G93" i="4" s="1"/>
  <c r="H93" i="4" s="1"/>
  <c r="J90" i="16"/>
  <c r="G80" i="4" s="1"/>
  <c r="H80" i="4" s="1"/>
  <c r="E82" i="4"/>
  <c r="F82" i="4"/>
  <c r="G82" i="4"/>
  <c r="G95" i="4" s="1"/>
  <c r="H95" i="4" s="1"/>
  <c r="D82" i="4"/>
  <c r="D95" i="4" s="1"/>
  <c r="C82" i="4"/>
  <c r="C95" i="4" s="1"/>
  <c r="H74" i="4"/>
  <c r="H75" i="4"/>
  <c r="H71" i="4"/>
  <c r="C73" i="4"/>
  <c r="C72" i="4"/>
  <c r="H82" i="4" l="1"/>
  <c r="C5" i="12"/>
  <c r="C4" i="12"/>
  <c r="C6" i="12"/>
  <c r="D455" i="1"/>
  <c r="D456" i="1"/>
  <c r="D457" i="1"/>
  <c r="C455" i="1"/>
  <c r="C456" i="1"/>
  <c r="C457" i="1"/>
  <c r="C453" i="1"/>
  <c r="C454" i="1"/>
  <c r="D453" i="1"/>
  <c r="D454" i="1"/>
  <c r="C165" i="9"/>
  <c r="J87" i="16"/>
  <c r="G165" i="9" s="1"/>
  <c r="C340" i="2"/>
  <c r="C197" i="15"/>
  <c r="C173" i="15"/>
  <c r="C165" i="15"/>
  <c r="C254" i="15"/>
  <c r="C247" i="15"/>
  <c r="C309" i="15"/>
  <c r="C317" i="15"/>
  <c r="C355" i="15"/>
  <c r="C362" i="15"/>
  <c r="C369" i="15"/>
  <c r="C379" i="15"/>
  <c r="C378" i="15"/>
  <c r="C389" i="15"/>
  <c r="C388" i="15"/>
  <c r="C441" i="15"/>
  <c r="C452" i="15"/>
  <c r="C174" i="9"/>
  <c r="J84" i="16"/>
  <c r="G174" i="9" s="1"/>
  <c r="I83" i="16" l="1"/>
  <c r="I82" i="16"/>
  <c r="H302" i="12"/>
  <c r="B203" i="9"/>
  <c r="B38" i="13"/>
  <c r="J460" i="1" l="1"/>
  <c r="E34" i="3"/>
  <c r="J97" i="16"/>
  <c r="H121" i="4"/>
  <c r="C6" i="16"/>
  <c r="C453" i="15"/>
  <c r="C461" i="15"/>
  <c r="C146" i="15"/>
  <c r="C145" i="15"/>
  <c r="G143" i="15"/>
  <c r="G144" i="15"/>
  <c r="C135" i="15"/>
  <c r="C134" i="15"/>
  <c r="C124" i="15"/>
  <c r="C115" i="15"/>
  <c r="C114" i="15"/>
  <c r="G377" i="15"/>
  <c r="H377" i="15" s="1"/>
  <c r="C104" i="15"/>
  <c r="C95" i="15"/>
  <c r="C94" i="15"/>
  <c r="B58" i="7"/>
  <c r="B36" i="3"/>
  <c r="B99" i="16"/>
  <c r="J69" i="16"/>
  <c r="J81" i="16"/>
  <c r="J51" i="16"/>
  <c r="G81" i="4" s="1"/>
  <c r="H81" i="4" s="1"/>
  <c r="J54" i="16"/>
  <c r="J57" i="16"/>
  <c r="G134" i="15" s="1"/>
  <c r="J60" i="16"/>
  <c r="G145" i="15" s="1"/>
  <c r="J63" i="16"/>
  <c r="J66" i="16"/>
  <c r="G461" i="15" s="1"/>
  <c r="H461" i="15" s="1"/>
  <c r="J15" i="16"/>
  <c r="G197" i="15" s="1"/>
  <c r="J18" i="16"/>
  <c r="G247" i="15" s="1"/>
  <c r="J21" i="16"/>
  <c r="G254" i="15" s="1"/>
  <c r="J24" i="16"/>
  <c r="G309" i="15" s="1"/>
  <c r="J27" i="16"/>
  <c r="G317" i="15" s="1"/>
  <c r="J30" i="16"/>
  <c r="G355" i="15" s="1"/>
  <c r="J33" i="16"/>
  <c r="G362" i="15" s="1"/>
  <c r="H362" i="15" s="1"/>
  <c r="J36" i="16"/>
  <c r="G369" i="15" s="1"/>
  <c r="H369" i="15" s="1"/>
  <c r="J39" i="16"/>
  <c r="G104" i="15" s="1"/>
  <c r="J42" i="16"/>
  <c r="G124" i="15" s="1"/>
  <c r="J45" i="16"/>
  <c r="G73" i="4" s="1"/>
  <c r="H73" i="4" s="1"/>
  <c r="J48" i="16"/>
  <c r="G94" i="4" s="1"/>
  <c r="H94" i="4" s="1"/>
  <c r="C340" i="1"/>
  <c r="C339" i="2"/>
  <c r="C339" i="1" s="1"/>
  <c r="C338" i="2"/>
  <c r="C337" i="2"/>
  <c r="C344" i="2"/>
  <c r="C344" i="1" s="1"/>
  <c r="C343" i="2"/>
  <c r="C343" i="1" s="1"/>
  <c r="C342" i="2"/>
  <c r="D339" i="1"/>
  <c r="D340" i="1"/>
  <c r="D341" i="1"/>
  <c r="D342" i="1"/>
  <c r="D343" i="1"/>
  <c r="D344" i="1"/>
  <c r="C341" i="1"/>
  <c r="C454" i="15"/>
  <c r="C442" i="15"/>
  <c r="H432" i="15"/>
  <c r="H431" i="15"/>
  <c r="H430" i="15"/>
  <c r="H429" i="15"/>
  <c r="H428" i="15"/>
  <c r="H427" i="15"/>
  <c r="H426" i="15"/>
  <c r="H425" i="15"/>
  <c r="H424" i="15"/>
  <c r="H423" i="15"/>
  <c r="H422" i="15"/>
  <c r="H421" i="15"/>
  <c r="H420" i="15"/>
  <c r="H419" i="15"/>
  <c r="H418" i="15"/>
  <c r="H417" i="15"/>
  <c r="H416" i="15"/>
  <c r="H415" i="15"/>
  <c r="H414" i="15"/>
  <c r="H413" i="15"/>
  <c r="H412" i="15"/>
  <c r="H405" i="15"/>
  <c r="F404" i="15"/>
  <c r="H404" i="15" s="1"/>
  <c r="F402" i="15"/>
  <c r="H402" i="15" s="1"/>
  <c r="F401" i="15"/>
  <c r="H401" i="15" s="1"/>
  <c r="F400" i="15"/>
  <c r="H400" i="15" s="1"/>
  <c r="F399" i="15"/>
  <c r="H399" i="15" s="1"/>
  <c r="F398" i="15"/>
  <c r="H398" i="15" s="1"/>
  <c r="F397" i="15"/>
  <c r="H397" i="15" s="1"/>
  <c r="F396" i="15"/>
  <c r="H396" i="15" s="1"/>
  <c r="F395" i="15"/>
  <c r="H395" i="15" s="1"/>
  <c r="F394" i="15"/>
  <c r="H394" i="15" s="1"/>
  <c r="H387" i="15"/>
  <c r="H355" i="15"/>
  <c r="G388" i="15" l="1"/>
  <c r="H388" i="15" s="1"/>
  <c r="G72" i="4"/>
  <c r="H72" i="4" s="1"/>
  <c r="H76" i="4" s="1"/>
  <c r="G114" i="15"/>
  <c r="G378" i="15"/>
  <c r="G95" i="15"/>
  <c r="G379" i="15"/>
  <c r="G453" i="15"/>
  <c r="G441" i="15"/>
  <c r="H441" i="15" s="1"/>
  <c r="G452" i="15"/>
  <c r="H452" i="15" s="1"/>
  <c r="G135" i="15"/>
  <c r="G94" i="15"/>
  <c r="G115" i="15"/>
  <c r="G376" i="15"/>
  <c r="H376" i="15" s="1"/>
  <c r="G380" i="15"/>
  <c r="H380" i="15" s="1"/>
  <c r="F403" i="15"/>
  <c r="H403" i="15" s="1"/>
  <c r="H406" i="15" l="1"/>
  <c r="G343" i="2" s="1"/>
  <c r="H378" i="15"/>
  <c r="H379" i="15"/>
  <c r="F396" i="2"/>
  <c r="F397" i="2"/>
  <c r="F398" i="2"/>
  <c r="F399" i="2"/>
  <c r="F392" i="2"/>
  <c r="F393" i="2"/>
  <c r="F394" i="2"/>
  <c r="F395" i="2"/>
  <c r="F386" i="2"/>
  <c r="F387" i="2"/>
  <c r="F388" i="2"/>
  <c r="F389" i="2"/>
  <c r="F390" i="2"/>
  <c r="F391" i="2"/>
  <c r="F379" i="2"/>
  <c r="F380" i="2"/>
  <c r="F381" i="2"/>
  <c r="F382" i="2"/>
  <c r="F383" i="2"/>
  <c r="F384" i="2"/>
  <c r="F385" i="2"/>
  <c r="I156" i="1"/>
  <c r="C102" i="9"/>
  <c r="C44" i="9"/>
  <c r="C36" i="9"/>
  <c r="C20" i="9"/>
  <c r="C255" i="2"/>
  <c r="C255" i="1" s="1"/>
  <c r="C254" i="2"/>
  <c r="C254" i="1" s="1"/>
  <c r="I76" i="16"/>
  <c r="J12" i="16"/>
  <c r="G173" i="15" s="1"/>
  <c r="J9" i="16"/>
  <c r="G165" i="15" s="1"/>
  <c r="C342" i="1"/>
  <c r="C331" i="2"/>
  <c r="C330" i="2"/>
  <c r="C325" i="2"/>
  <c r="C325" i="1" s="1"/>
  <c r="C324" i="2"/>
  <c r="C324" i="1" s="1"/>
  <c r="C323" i="2"/>
  <c r="C323" i="1" s="1"/>
  <c r="C317" i="2"/>
  <c r="C317" i="1" s="1"/>
  <c r="C316" i="2"/>
  <c r="C316" i="1" s="1"/>
  <c r="C315" i="2"/>
  <c r="C315" i="1" s="1"/>
  <c r="C310" i="2"/>
  <c r="C309" i="2"/>
  <c r="C306" i="2"/>
  <c r="C306" i="1" s="1"/>
  <c r="C304" i="2"/>
  <c r="C304" i="1" s="1"/>
  <c r="C302" i="2"/>
  <c r="C302" i="1" s="1"/>
  <c r="C301" i="2"/>
  <c r="C301" i="1" s="1"/>
  <c r="C295" i="2"/>
  <c r="C295" i="1" s="1"/>
  <c r="C293" i="2"/>
  <c r="C293" i="1" s="1"/>
  <c r="C292" i="2"/>
  <c r="C338" i="1"/>
  <c r="C337" i="1"/>
  <c r="C331" i="1"/>
  <c r="C330" i="1"/>
  <c r="C310" i="1"/>
  <c r="C309" i="1"/>
  <c r="C292" i="1"/>
  <c r="C283" i="2"/>
  <c r="C283" i="1" s="1"/>
  <c r="C271" i="2"/>
  <c r="C271" i="1" s="1"/>
  <c r="C270" i="2"/>
  <c r="C270" i="1" s="1"/>
  <c r="C269" i="2"/>
  <c r="C269" i="1" s="1"/>
  <c r="C268" i="2"/>
  <c r="C268" i="1" s="1"/>
  <c r="C267" i="2"/>
  <c r="C267" i="1" s="1"/>
  <c r="C264" i="2"/>
  <c r="C264" i="1" s="1"/>
  <c r="C262" i="2"/>
  <c r="C262" i="1" s="1"/>
  <c r="C261" i="2"/>
  <c r="C261" i="1" s="1"/>
  <c r="C260" i="2"/>
  <c r="C260" i="1" s="1"/>
  <c r="C259" i="2"/>
  <c r="C259" i="1" s="1"/>
  <c r="C258" i="2"/>
  <c r="C258" i="1" s="1"/>
  <c r="C257" i="2"/>
  <c r="C257" i="1" s="1"/>
  <c r="C253" i="2"/>
  <c r="C253" i="1" s="1"/>
  <c r="C252" i="2"/>
  <c r="C252" i="1" s="1"/>
  <c r="C251" i="2"/>
  <c r="C251" i="1" s="1"/>
  <c r="C250" i="2"/>
  <c r="C250" i="1" s="1"/>
  <c r="C249" i="2"/>
  <c r="C249" i="1" s="1"/>
  <c r="C248" i="2"/>
  <c r="C248" i="1" s="1"/>
  <c r="C247" i="2"/>
  <c r="C247" i="1" s="1"/>
  <c r="C246" i="2"/>
  <c r="C246" i="1" s="1"/>
  <c r="C231" i="2"/>
  <c r="C231" i="1" s="1"/>
  <c r="C230" i="2"/>
  <c r="C230" i="1" s="1"/>
  <c r="C229" i="2"/>
  <c r="C229" i="1" s="1"/>
  <c r="C227" i="2"/>
  <c r="C227" i="1" s="1"/>
  <c r="D316" i="1"/>
  <c r="D317" i="1"/>
  <c r="C318" i="1"/>
  <c r="D318" i="1"/>
  <c r="C319" i="1"/>
  <c r="D319" i="1"/>
  <c r="C320" i="1"/>
  <c r="D320" i="1"/>
  <c r="C321" i="1"/>
  <c r="D321" i="1"/>
  <c r="C322" i="1"/>
  <c r="D322" i="1"/>
  <c r="D323" i="1"/>
  <c r="D324" i="1"/>
  <c r="D325" i="1"/>
  <c r="C326" i="1"/>
  <c r="D326" i="1"/>
  <c r="C327" i="1"/>
  <c r="D327" i="1"/>
  <c r="C328" i="1"/>
  <c r="D328" i="1"/>
  <c r="C329" i="1"/>
  <c r="D329" i="1"/>
  <c r="D330" i="1"/>
  <c r="D331" i="1"/>
  <c r="C332" i="1"/>
  <c r="D332" i="1"/>
  <c r="C333" i="1"/>
  <c r="D333" i="1"/>
  <c r="D337" i="1"/>
  <c r="D338" i="1"/>
  <c r="D295" i="1"/>
  <c r="C296" i="1"/>
  <c r="D296" i="1"/>
  <c r="C297" i="1"/>
  <c r="D297" i="1"/>
  <c r="C298" i="1"/>
  <c r="D298" i="1"/>
  <c r="C299" i="1"/>
  <c r="D299" i="1"/>
  <c r="C300" i="1"/>
  <c r="D300" i="1"/>
  <c r="D301" i="1"/>
  <c r="D302" i="1"/>
  <c r="C303" i="1"/>
  <c r="D303" i="1"/>
  <c r="D304" i="1"/>
  <c r="C305" i="1"/>
  <c r="D305" i="1"/>
  <c r="D306" i="1"/>
  <c r="C307" i="1"/>
  <c r="D307" i="1"/>
  <c r="C308" i="1"/>
  <c r="D308" i="1"/>
  <c r="D309" i="1"/>
  <c r="D310" i="1"/>
  <c r="C311" i="1"/>
  <c r="D311" i="1"/>
  <c r="C312" i="1"/>
  <c r="D312" i="1"/>
  <c r="C313" i="1"/>
  <c r="D313" i="1"/>
  <c r="C314" i="1"/>
  <c r="D314" i="1"/>
  <c r="D315" i="1"/>
  <c r="C281" i="1"/>
  <c r="D281" i="1"/>
  <c r="C282" i="1"/>
  <c r="D282" i="1"/>
  <c r="D283" i="1"/>
  <c r="C284" i="1"/>
  <c r="D284" i="1"/>
  <c r="C285" i="1"/>
  <c r="D285" i="1"/>
  <c r="C286" i="1"/>
  <c r="D286" i="1"/>
  <c r="C287" i="1"/>
  <c r="D287" i="1"/>
  <c r="C288" i="1"/>
  <c r="D288" i="1"/>
  <c r="C289" i="1"/>
  <c r="D289" i="1"/>
  <c r="C290" i="1"/>
  <c r="D290" i="1"/>
  <c r="C291" i="1"/>
  <c r="D291" i="1"/>
  <c r="D292" i="1"/>
  <c r="D293" i="1"/>
  <c r="C294" i="1"/>
  <c r="D294" i="1"/>
  <c r="C274" i="1"/>
  <c r="D274" i="1"/>
  <c r="C275" i="1"/>
  <c r="D275" i="1"/>
  <c r="C276" i="1"/>
  <c r="D276" i="1"/>
  <c r="C277" i="1"/>
  <c r="D277" i="1"/>
  <c r="C278" i="1"/>
  <c r="D278" i="1"/>
  <c r="C279" i="1"/>
  <c r="D279" i="1"/>
  <c r="C280" i="1"/>
  <c r="D280" i="1"/>
  <c r="D271" i="1"/>
  <c r="C272" i="1"/>
  <c r="D272" i="1"/>
  <c r="C273" i="1"/>
  <c r="D273" i="1"/>
  <c r="D264" i="1"/>
  <c r="C265" i="1"/>
  <c r="D265" i="1"/>
  <c r="C266" i="1"/>
  <c r="D266" i="1"/>
  <c r="D267" i="1"/>
  <c r="D268" i="1"/>
  <c r="D269" i="1"/>
  <c r="D270" i="1"/>
  <c r="D258" i="1"/>
  <c r="D259" i="1"/>
  <c r="D260" i="1"/>
  <c r="D261" i="1"/>
  <c r="D262" i="1"/>
  <c r="C263" i="1"/>
  <c r="D263" i="1"/>
  <c r="D249" i="1"/>
  <c r="D250" i="1"/>
  <c r="D251" i="1"/>
  <c r="D252" i="1"/>
  <c r="D253" i="1"/>
  <c r="D254" i="1"/>
  <c r="D255" i="1"/>
  <c r="C256" i="1"/>
  <c r="D256" i="1"/>
  <c r="D257" i="1"/>
  <c r="B237" i="1"/>
  <c r="C237" i="1"/>
  <c r="B228" i="1"/>
  <c r="C228" i="1"/>
  <c r="B229" i="1"/>
  <c r="B230" i="1"/>
  <c r="B231" i="1"/>
  <c r="B232" i="1"/>
  <c r="C232" i="1"/>
  <c r="B233" i="1"/>
  <c r="C233" i="1"/>
  <c r="B234" i="1"/>
  <c r="C234" i="1"/>
  <c r="B235" i="1"/>
  <c r="C235" i="1"/>
  <c r="B236" i="1"/>
  <c r="C236" i="1"/>
  <c r="B227" i="1"/>
  <c r="D227" i="1"/>
  <c r="F103" i="2"/>
  <c r="F101" i="2"/>
  <c r="F102" i="2"/>
  <c r="F100" i="2"/>
  <c r="F141" i="2"/>
  <c r="F142" i="2"/>
  <c r="F143" i="2"/>
  <c r="F144" i="2"/>
  <c r="F138" i="2"/>
  <c r="F139" i="2"/>
  <c r="F140" i="2"/>
  <c r="F133" i="2"/>
  <c r="F134" i="2"/>
  <c r="F135" i="2"/>
  <c r="F136" i="2"/>
  <c r="F137" i="2"/>
  <c r="F127" i="2"/>
  <c r="F128" i="2"/>
  <c r="F129" i="2"/>
  <c r="F130" i="2"/>
  <c r="F131" i="2"/>
  <c r="F132" i="2"/>
  <c r="F124" i="2"/>
  <c r="F125" i="2"/>
  <c r="F126" i="2"/>
  <c r="F121" i="2"/>
  <c r="F122" i="2"/>
  <c r="F123" i="2"/>
  <c r="F120" i="2"/>
  <c r="B138" i="1"/>
  <c r="B139" i="1"/>
  <c r="B140" i="1"/>
  <c r="B141" i="1"/>
  <c r="B142" i="1"/>
  <c r="B143" i="1"/>
  <c r="B144" i="1"/>
  <c r="B132" i="1"/>
  <c r="B133" i="1"/>
  <c r="B134" i="1"/>
  <c r="B135" i="1"/>
  <c r="B136" i="1"/>
  <c r="B137" i="1"/>
  <c r="B126" i="1"/>
  <c r="B127" i="1"/>
  <c r="B128" i="1"/>
  <c r="B129" i="1"/>
  <c r="B130" i="1"/>
  <c r="B131" i="1"/>
  <c r="B121" i="1"/>
  <c r="B122" i="1"/>
  <c r="B123" i="1"/>
  <c r="B124" i="1"/>
  <c r="B125" i="1"/>
  <c r="D139" i="2"/>
  <c r="D139" i="1" s="1"/>
  <c r="D138" i="2"/>
  <c r="D138" i="1" s="1"/>
  <c r="D137" i="2"/>
  <c r="D137" i="1" s="1"/>
  <c r="D122" i="1"/>
  <c r="C122" i="1"/>
  <c r="I109" i="1"/>
  <c r="D106" i="1"/>
  <c r="C107" i="1"/>
  <c r="C108" i="1"/>
  <c r="C110" i="1"/>
  <c r="B107" i="1"/>
  <c r="B108" i="1"/>
  <c r="B109" i="1"/>
  <c r="B110" i="1"/>
  <c r="D107" i="1"/>
  <c r="D108" i="1"/>
  <c r="D109" i="1"/>
  <c r="D110" i="1"/>
  <c r="C106" i="1"/>
  <c r="I99" i="1"/>
  <c r="F99" i="2" s="1"/>
  <c r="J100" i="1"/>
  <c r="D99" i="1"/>
  <c r="D100" i="1"/>
  <c r="D101" i="1"/>
  <c r="D102" i="1"/>
  <c r="D103" i="1"/>
  <c r="C99" i="1"/>
  <c r="C100" i="1"/>
  <c r="C101" i="1"/>
  <c r="C102" i="1"/>
  <c r="C103" i="1"/>
  <c r="B99" i="1"/>
  <c r="B100" i="1"/>
  <c r="B101" i="1"/>
  <c r="B102" i="1"/>
  <c r="B103" i="1"/>
  <c r="B82" i="1"/>
  <c r="C82" i="1"/>
  <c r="B83" i="1"/>
  <c r="C83" i="1"/>
  <c r="B84" i="1"/>
  <c r="C84" i="1"/>
  <c r="B85" i="1"/>
  <c r="C85" i="1"/>
  <c r="D82" i="1"/>
  <c r="D83" i="1"/>
  <c r="D84" i="1"/>
  <c r="D85" i="1"/>
  <c r="D81" i="1"/>
  <c r="C81" i="1"/>
  <c r="I79" i="1"/>
  <c r="I78" i="1"/>
  <c r="I77" i="1"/>
  <c r="I76" i="1"/>
  <c r="I75" i="1"/>
  <c r="I74" i="1"/>
  <c r="I73" i="1"/>
  <c r="I72" i="1"/>
  <c r="I70" i="1"/>
  <c r="B79" i="1"/>
  <c r="C79" i="1"/>
  <c r="D79" i="1"/>
  <c r="D72" i="1"/>
  <c r="D73" i="1"/>
  <c r="D74" i="1"/>
  <c r="D75" i="1"/>
  <c r="D76" i="1"/>
  <c r="D77" i="1"/>
  <c r="D78" i="1"/>
  <c r="B73" i="1"/>
  <c r="C73" i="1"/>
  <c r="B74" i="1"/>
  <c r="C74" i="1"/>
  <c r="B75" i="1"/>
  <c r="C75" i="1"/>
  <c r="B76" i="1"/>
  <c r="C76" i="1"/>
  <c r="B77" i="1"/>
  <c r="C77" i="1"/>
  <c r="B78" i="1"/>
  <c r="C78" i="1"/>
  <c r="C72" i="1"/>
  <c r="B72" i="1"/>
  <c r="B71" i="1"/>
  <c r="B69" i="1"/>
  <c r="I66" i="1"/>
  <c r="I65" i="1"/>
  <c r="I64" i="1"/>
  <c r="J58" i="1"/>
  <c r="J59" i="1"/>
  <c r="J60" i="1"/>
  <c r="J61" i="1"/>
  <c r="J62" i="1"/>
  <c r="J57" i="1"/>
  <c r="I61" i="1"/>
  <c r="I60" i="1"/>
  <c r="I59" i="1" s="1"/>
  <c r="I57" i="1"/>
  <c r="F57" i="2"/>
  <c r="D65" i="1"/>
  <c r="D66" i="1"/>
  <c r="C65" i="1"/>
  <c r="C66" i="1"/>
  <c r="C64" i="1"/>
  <c r="D64" i="1"/>
  <c r="B65" i="1"/>
  <c r="B66" i="1"/>
  <c r="B64" i="1"/>
  <c r="B63" i="1"/>
  <c r="B58" i="1"/>
  <c r="C58" i="1"/>
  <c r="B59" i="1"/>
  <c r="C59" i="1"/>
  <c r="B60" i="1"/>
  <c r="C60" i="1"/>
  <c r="B61" i="1"/>
  <c r="C61" i="1"/>
  <c r="B62" i="1"/>
  <c r="C62" i="1"/>
  <c r="D58" i="1"/>
  <c r="D59" i="1"/>
  <c r="D60" i="1"/>
  <c r="D61" i="1"/>
  <c r="D62" i="1"/>
  <c r="C57" i="1"/>
  <c r="D57" i="1"/>
  <c r="B57" i="1"/>
  <c r="I55" i="1"/>
  <c r="I50" i="1"/>
  <c r="D50" i="1"/>
  <c r="D51" i="1"/>
  <c r="D52" i="1"/>
  <c r="D53" i="1"/>
  <c r="D54" i="1"/>
  <c r="D55" i="1"/>
  <c r="I49" i="1"/>
  <c r="B56" i="1"/>
  <c r="C49" i="1"/>
  <c r="D49" i="1"/>
  <c r="C50" i="1"/>
  <c r="C51" i="1"/>
  <c r="C52" i="1"/>
  <c r="C53" i="1"/>
  <c r="C54" i="1"/>
  <c r="C55" i="1"/>
  <c r="B50" i="1"/>
  <c r="B51" i="1"/>
  <c r="B52" i="1"/>
  <c r="B53" i="1"/>
  <c r="B54" i="1"/>
  <c r="B55" i="1"/>
  <c r="B49" i="1"/>
  <c r="C47" i="1"/>
  <c r="D47" i="1"/>
  <c r="B48" i="1"/>
  <c r="B47" i="1"/>
  <c r="F16" i="2"/>
  <c r="D18" i="1"/>
  <c r="D16" i="1"/>
  <c r="D13" i="1"/>
  <c r="D14" i="1"/>
  <c r="D15" i="1"/>
  <c r="D17" i="1"/>
  <c r="C13" i="1"/>
  <c r="C14" i="1"/>
  <c r="C15" i="1"/>
  <c r="C16" i="1"/>
  <c r="C17" i="1"/>
  <c r="C18" i="1"/>
  <c r="B13" i="1"/>
  <c r="B14" i="1"/>
  <c r="B15" i="1"/>
  <c r="B16" i="1"/>
  <c r="B17" i="1"/>
  <c r="B18" i="1"/>
  <c r="C4" i="7"/>
  <c r="C4" i="3"/>
  <c r="H201" i="9"/>
  <c r="D36" i="13"/>
  <c r="B462" i="1"/>
  <c r="D395" i="1"/>
  <c r="D396" i="1"/>
  <c r="D397" i="1"/>
  <c r="D398" i="1"/>
  <c r="D399" i="1"/>
  <c r="D389" i="1"/>
  <c r="D390" i="1"/>
  <c r="D391" i="1"/>
  <c r="D392" i="1"/>
  <c r="D393" i="1"/>
  <c r="D394" i="1"/>
  <c r="D383" i="1"/>
  <c r="D384" i="1"/>
  <c r="D385" i="1"/>
  <c r="D386" i="1"/>
  <c r="D387" i="1"/>
  <c r="D388" i="1"/>
  <c r="D379" i="1"/>
  <c r="D380" i="1"/>
  <c r="D381" i="1"/>
  <c r="D382" i="1"/>
  <c r="C396" i="1"/>
  <c r="C397" i="1"/>
  <c r="C398" i="1"/>
  <c r="C399" i="1"/>
  <c r="C387" i="1"/>
  <c r="C388" i="1"/>
  <c r="C389" i="1"/>
  <c r="C390" i="1"/>
  <c r="C391" i="1"/>
  <c r="C379" i="1"/>
  <c r="C380" i="1"/>
  <c r="C381" i="1"/>
  <c r="C382" i="1"/>
  <c r="C383" i="1"/>
  <c r="C384" i="1"/>
  <c r="C385" i="1"/>
  <c r="C386" i="1"/>
  <c r="B398" i="1"/>
  <c r="B399" i="1"/>
  <c r="B392" i="1"/>
  <c r="B393" i="1"/>
  <c r="B394" i="1"/>
  <c r="B395" i="1"/>
  <c r="B396" i="1"/>
  <c r="B397" i="1"/>
  <c r="B385" i="1"/>
  <c r="B386" i="1"/>
  <c r="B387" i="1"/>
  <c r="B388" i="1"/>
  <c r="B389" i="1"/>
  <c r="B390" i="1"/>
  <c r="B391" i="1"/>
  <c r="B379" i="1"/>
  <c r="B380" i="1"/>
  <c r="B381" i="1"/>
  <c r="B382" i="1"/>
  <c r="B383" i="1"/>
  <c r="B384" i="1"/>
  <c r="B46" i="1"/>
  <c r="B23" i="3"/>
  <c r="F6" i="9"/>
  <c r="B3" i="9"/>
  <c r="F6" i="12"/>
  <c r="B3" i="12"/>
  <c r="F6" i="15"/>
  <c r="B3" i="15"/>
  <c r="B3" i="1"/>
  <c r="G102" i="9"/>
  <c r="C23" i="3"/>
  <c r="C37" i="4"/>
  <c r="C179" i="2"/>
  <c r="C179" i="1" s="1"/>
  <c r="C177" i="2"/>
  <c r="C177" i="1" s="1"/>
  <c r="C176" i="2"/>
  <c r="C176" i="1" s="1"/>
  <c r="C180" i="2"/>
  <c r="C180" i="1" s="1"/>
  <c r="C185" i="2"/>
  <c r="C185" i="1" s="1"/>
  <c r="C187" i="2"/>
  <c r="C187" i="1" s="1"/>
  <c r="J75" i="16" l="1"/>
  <c r="G36" i="9" s="1"/>
  <c r="M56" i="7"/>
  <c r="J72" i="16"/>
  <c r="G20" i="9" s="1"/>
  <c r="J78" i="16"/>
  <c r="G44" i="9" s="1"/>
  <c r="I58" i="1"/>
  <c r="D98" i="2" l="1"/>
  <c r="D98" i="1" s="1"/>
  <c r="C98" i="2"/>
  <c r="H26" i="4"/>
  <c r="H25" i="4"/>
  <c r="H24" i="4"/>
  <c r="H23" i="4"/>
  <c r="H22" i="4"/>
  <c r="C347" i="2"/>
  <c r="F347" i="2"/>
  <c r="C358" i="2"/>
  <c r="G358" i="2"/>
  <c r="C359" i="2"/>
  <c r="G359" i="2"/>
  <c r="G360" i="2"/>
  <c r="G361" i="2"/>
  <c r="G362" i="2"/>
  <c r="G363" i="2"/>
  <c r="G364" i="2"/>
  <c r="G365" i="2"/>
  <c r="G367" i="2" s="1"/>
  <c r="G37" i="4"/>
  <c r="H348" i="15"/>
  <c r="H341" i="15"/>
  <c r="H340" i="15"/>
  <c r="H333" i="15"/>
  <c r="H332" i="15"/>
  <c r="H325" i="15"/>
  <c r="H324" i="15"/>
  <c r="H317" i="15"/>
  <c r="H316" i="15"/>
  <c r="H309" i="15"/>
  <c r="H308" i="15"/>
  <c r="H301" i="15"/>
  <c r="H300" i="15"/>
  <c r="H293" i="15"/>
  <c r="H292" i="15"/>
  <c r="H285" i="15"/>
  <c r="H284" i="15"/>
  <c r="H277" i="15"/>
  <c r="H270" i="15"/>
  <c r="H269" i="15"/>
  <c r="H262" i="15"/>
  <c r="H261" i="15"/>
  <c r="H254" i="15"/>
  <c r="H247" i="15"/>
  <c r="H240" i="15"/>
  <c r="H233" i="15"/>
  <c r="H232" i="15"/>
  <c r="H225" i="15"/>
  <c r="H218" i="15"/>
  <c r="H211" i="15"/>
  <c r="H204" i="15"/>
  <c r="H197" i="15"/>
  <c r="H196" i="15"/>
  <c r="H195" i="15"/>
  <c r="H188" i="15"/>
  <c r="H181" i="15"/>
  <c r="H180" i="15"/>
  <c r="H173" i="15"/>
  <c r="H172" i="15"/>
  <c r="H165" i="15"/>
  <c r="H159" i="15"/>
  <c r="H153" i="15"/>
  <c r="G147" i="15"/>
  <c r="G454" i="15" s="1"/>
  <c r="G146" i="15"/>
  <c r="H145" i="15"/>
  <c r="G450" i="15"/>
  <c r="H136" i="15"/>
  <c r="H135" i="15"/>
  <c r="H134" i="15"/>
  <c r="H133" i="15"/>
  <c r="H132" i="15"/>
  <c r="C125" i="15"/>
  <c r="H124" i="15"/>
  <c r="H123" i="15"/>
  <c r="C105" i="15"/>
  <c r="H104" i="15"/>
  <c r="H103" i="15"/>
  <c r="H96" i="15"/>
  <c r="H95" i="15"/>
  <c r="H94" i="15"/>
  <c r="H93" i="15"/>
  <c r="H92" i="15"/>
  <c r="H83" i="15"/>
  <c r="H78" i="15"/>
  <c r="H71" i="15"/>
  <c r="H70" i="15"/>
  <c r="H67" i="15"/>
  <c r="H62" i="15"/>
  <c r="H61" i="15"/>
  <c r="H60" i="15"/>
  <c r="H59" i="15"/>
  <c r="H54" i="15"/>
  <c r="H53" i="15"/>
  <c r="H52" i="15"/>
  <c r="H51" i="15"/>
  <c r="H46" i="15"/>
  <c r="H45" i="15"/>
  <c r="G44" i="15"/>
  <c r="G69" i="15" s="1"/>
  <c r="G43" i="15"/>
  <c r="H43" i="15" s="1"/>
  <c r="H42" i="15"/>
  <c r="H37" i="15"/>
  <c r="H36" i="15"/>
  <c r="H35" i="15"/>
  <c r="F30" i="15"/>
  <c r="H30" i="15" s="1"/>
  <c r="F29" i="15"/>
  <c r="H29" i="15" s="1"/>
  <c r="H28" i="15"/>
  <c r="H23" i="15"/>
  <c r="H22" i="15"/>
  <c r="H21" i="15"/>
  <c r="H16" i="15"/>
  <c r="H15" i="15"/>
  <c r="H14" i="15"/>
  <c r="H13" i="15"/>
  <c r="H12" i="15"/>
  <c r="H11" i="15"/>
  <c r="H55" i="15" l="1"/>
  <c r="G247" i="2" s="1"/>
  <c r="G229" i="2"/>
  <c r="H63" i="15"/>
  <c r="G248" i="2" s="1"/>
  <c r="G227" i="2"/>
  <c r="H147" i="15"/>
  <c r="G439" i="15"/>
  <c r="H439" i="15" s="1"/>
  <c r="H450" i="15"/>
  <c r="H44" i="15"/>
  <c r="H47" i="15" s="1"/>
  <c r="H143" i="15"/>
  <c r="H146" i="15"/>
  <c r="H454" i="15"/>
  <c r="G443" i="15"/>
  <c r="H443" i="15" s="1"/>
  <c r="H38" i="15"/>
  <c r="G231" i="2" s="1"/>
  <c r="G125" i="15"/>
  <c r="H125" i="15" s="1"/>
  <c r="G68" i="15"/>
  <c r="G77" i="15"/>
  <c r="H69" i="15"/>
  <c r="G230" i="2"/>
  <c r="G246" i="2" l="1"/>
  <c r="H144" i="15"/>
  <c r="G451" i="15"/>
  <c r="H442" i="15"/>
  <c r="H453" i="15"/>
  <c r="G76" i="15"/>
  <c r="H68" i="15"/>
  <c r="G85" i="15"/>
  <c r="H77" i="15"/>
  <c r="H72" i="15" l="1"/>
  <c r="G249" i="2" s="1"/>
  <c r="H451" i="15"/>
  <c r="G440" i="15"/>
  <c r="H440" i="15" s="1"/>
  <c r="G84" i="15"/>
  <c r="H76" i="15"/>
  <c r="G102" i="15"/>
  <c r="G91" i="15"/>
  <c r="H91" i="15" s="1"/>
  <c r="H85" i="15"/>
  <c r="H79" i="15" l="1"/>
  <c r="G250" i="2" s="1"/>
  <c r="G101" i="15"/>
  <c r="H84" i="15"/>
  <c r="H86" i="15" s="1"/>
  <c r="G251" i="2" s="1"/>
  <c r="G90" i="15"/>
  <c r="H90" i="15" s="1"/>
  <c r="H102" i="15"/>
  <c r="G122" i="15"/>
  <c r="H97" i="15" l="1"/>
  <c r="G105" i="15" s="1"/>
  <c r="H105" i="15" s="1"/>
  <c r="H101" i="15"/>
  <c r="G121" i="15"/>
  <c r="H122" i="15"/>
  <c r="H106" i="15" l="1"/>
  <c r="G252" i="2" s="1"/>
  <c r="H121" i="15"/>
  <c r="H131" i="15"/>
  <c r="H126" i="15" l="1"/>
  <c r="G253" i="2" s="1"/>
  <c r="H130" i="15"/>
  <c r="H142" i="15"/>
  <c r="G171" i="15"/>
  <c r="G152" i="15"/>
  <c r="H137" i="15" l="1"/>
  <c r="G254" i="2" s="1"/>
  <c r="G170" i="15"/>
  <c r="H141" i="15"/>
  <c r="H148" i="15" s="1"/>
  <c r="G158" i="15"/>
  <c r="H152" i="15"/>
  <c r="H154" i="15" s="1"/>
  <c r="G257" i="2" s="1"/>
  <c r="G179" i="15"/>
  <c r="H171" i="15"/>
  <c r="H158" i="15" l="1"/>
  <c r="G164" i="15"/>
  <c r="H164" i="15" s="1"/>
  <c r="H166" i="15" s="1"/>
  <c r="G259" i="2" s="1"/>
  <c r="G255" i="2"/>
  <c r="H170" i="15"/>
  <c r="H174" i="15" s="1"/>
  <c r="G260" i="2" s="1"/>
  <c r="G178" i="15"/>
  <c r="G187" i="15"/>
  <c r="H179" i="15"/>
  <c r="H160" i="15" l="1"/>
  <c r="G258" i="2" s="1"/>
  <c r="H178" i="15"/>
  <c r="H182" i="15" s="1"/>
  <c r="G261" i="2" s="1"/>
  <c r="G186" i="15"/>
  <c r="G194" i="15"/>
  <c r="H187" i="15"/>
  <c r="H186" i="15" l="1"/>
  <c r="G193" i="15"/>
  <c r="G202" i="15" s="1"/>
  <c r="H194" i="15"/>
  <c r="G203" i="15"/>
  <c r="H189" i="15" l="1"/>
  <c r="G262" i="2" s="1"/>
  <c r="H193" i="15"/>
  <c r="G210" i="15"/>
  <c r="H203" i="15"/>
  <c r="H198" i="15" l="1"/>
  <c r="G264" i="2" s="1"/>
  <c r="G209" i="15"/>
  <c r="H202" i="15"/>
  <c r="H205" i="15" s="1"/>
  <c r="G267" i="2" s="1"/>
  <c r="H210" i="15"/>
  <c r="G217" i="15"/>
  <c r="G216" i="15" l="1"/>
  <c r="H209" i="15"/>
  <c r="H212" i="15" s="1"/>
  <c r="G268" i="2" s="1"/>
  <c r="H217" i="15"/>
  <c r="G224" i="15"/>
  <c r="H216" i="15" l="1"/>
  <c r="H219" i="15" s="1"/>
  <c r="G269" i="2" s="1"/>
  <c r="G223" i="15"/>
  <c r="G231" i="15"/>
  <c r="H224" i="15"/>
  <c r="G230" i="15" l="1"/>
  <c r="H223" i="15"/>
  <c r="H226" i="15"/>
  <c r="G270" i="2" s="1"/>
  <c r="G246" i="15"/>
  <c r="G239" i="15"/>
  <c r="H239" i="15" s="1"/>
  <c r="H231" i="15"/>
  <c r="H230" i="15" l="1"/>
  <c r="H234" i="15" s="1"/>
  <c r="G271" i="2" s="1"/>
  <c r="G245" i="15"/>
  <c r="G238" i="15"/>
  <c r="H238" i="15" s="1"/>
  <c r="H246" i="15"/>
  <c r="G253" i="15"/>
  <c r="H241" i="15" l="1"/>
  <c r="G283" i="2" s="1"/>
  <c r="G252" i="15"/>
  <c r="H245" i="15"/>
  <c r="H248" i="15" s="1"/>
  <c r="G292" i="2" s="1"/>
  <c r="H253" i="15"/>
  <c r="G260" i="15"/>
  <c r="H252" i="15" l="1"/>
  <c r="H255" i="15" s="1"/>
  <c r="G293" i="2" s="1"/>
  <c r="G259" i="15"/>
  <c r="H260" i="15"/>
  <c r="G268" i="15"/>
  <c r="G267" i="15" l="1"/>
  <c r="H259" i="15"/>
  <c r="H268" i="15"/>
  <c r="G276" i="15"/>
  <c r="H263" i="15" l="1"/>
  <c r="G295" i="2" s="1"/>
  <c r="G275" i="15"/>
  <c r="H267" i="15"/>
  <c r="H271" i="15" s="1"/>
  <c r="H276" i="15"/>
  <c r="G283" i="15"/>
  <c r="G301" i="2" l="1"/>
  <c r="G309" i="2"/>
  <c r="G282" i="15"/>
  <c r="H275" i="15"/>
  <c r="H278" i="15" s="1"/>
  <c r="H283" i="15"/>
  <c r="G291" i="15"/>
  <c r="G310" i="2" l="1"/>
  <c r="G302" i="2"/>
  <c r="G290" i="15"/>
  <c r="H282" i="15"/>
  <c r="H286" i="15" s="1"/>
  <c r="H291" i="15"/>
  <c r="G299" i="15"/>
  <c r="G325" i="2" l="1"/>
  <c r="G316" i="2"/>
  <c r="H290" i="15"/>
  <c r="H294" i="15" s="1"/>
  <c r="G298" i="15"/>
  <c r="G307" i="15"/>
  <c r="H299" i="15"/>
  <c r="G315" i="2" l="1"/>
  <c r="G331" i="2"/>
  <c r="H298" i="15"/>
  <c r="H302" i="15" s="1"/>
  <c r="G304" i="2" s="1"/>
  <c r="G306" i="15"/>
  <c r="H307" i="15"/>
  <c r="G315" i="15"/>
  <c r="G314" i="15" l="1"/>
  <c r="H306" i="15"/>
  <c r="H310" i="15" s="1"/>
  <c r="G306" i="2" s="1"/>
  <c r="G323" i="15"/>
  <c r="H315" i="15"/>
  <c r="H314" i="15" l="1"/>
  <c r="H318" i="15" s="1"/>
  <c r="G323" i="2" s="1"/>
  <c r="G322" i="15"/>
  <c r="G331" i="15"/>
  <c r="H323" i="15"/>
  <c r="H322" i="15" l="1"/>
  <c r="H326" i="15" s="1"/>
  <c r="G324" i="2" s="1"/>
  <c r="G330" i="15"/>
  <c r="G339" i="15"/>
  <c r="H331" i="15"/>
  <c r="H330" i="15" l="1"/>
  <c r="H334" i="15" s="1"/>
  <c r="G317" i="2" s="1"/>
  <c r="G338" i="15"/>
  <c r="G347" i="15"/>
  <c r="H339" i="15"/>
  <c r="G354" i="15" l="1"/>
  <c r="H338" i="15"/>
  <c r="G346" i="15"/>
  <c r="H347" i="15"/>
  <c r="H342" i="15" l="1"/>
  <c r="G330" i="2" s="1"/>
  <c r="G353" i="15"/>
  <c r="H354" i="15"/>
  <c r="G361" i="15"/>
  <c r="H346" i="15"/>
  <c r="H349" i="15" s="1"/>
  <c r="G342" i="2" s="1"/>
  <c r="G368" i="15" l="1"/>
  <c r="H368" i="15" s="1"/>
  <c r="H361" i="15"/>
  <c r="H375" i="15"/>
  <c r="G360" i="15"/>
  <c r="H353" i="15"/>
  <c r="H356" i="15" s="1"/>
  <c r="G337" i="2" s="1"/>
  <c r="C139" i="2"/>
  <c r="C139" i="1" s="1"/>
  <c r="B304" i="12"/>
  <c r="B466" i="15" s="1"/>
  <c r="G261" i="12"/>
  <c r="H261" i="12" s="1"/>
  <c r="G260" i="12"/>
  <c r="H260" i="12" s="1"/>
  <c r="F242" i="12"/>
  <c r="C228" i="12"/>
  <c r="D228" i="12"/>
  <c r="C242" i="12"/>
  <c r="D242" i="12"/>
  <c r="F244" i="12"/>
  <c r="H244" i="12" s="1"/>
  <c r="H243" i="12"/>
  <c r="C164" i="12"/>
  <c r="D134" i="2" s="1"/>
  <c r="D134" i="1" s="1"/>
  <c r="C178" i="12"/>
  <c r="D135" i="2" s="1"/>
  <c r="D135" i="1" s="1"/>
  <c r="C192" i="12"/>
  <c r="D136" i="2" s="1"/>
  <c r="D136" i="1" s="1"/>
  <c r="F228" i="12"/>
  <c r="F230" i="12"/>
  <c r="H230" i="12" s="1"/>
  <c r="H229" i="12"/>
  <c r="F210" i="12"/>
  <c r="H210" i="12" s="1"/>
  <c r="F216" i="12"/>
  <c r="F215" i="12"/>
  <c r="F214" i="12"/>
  <c r="F213" i="12"/>
  <c r="F212" i="12"/>
  <c r="H209" i="12"/>
  <c r="E208" i="12"/>
  <c r="F201" i="12"/>
  <c r="F208" i="12" s="1"/>
  <c r="F203" i="12"/>
  <c r="H203" i="12" s="1"/>
  <c r="H202" i="12"/>
  <c r="D201" i="12"/>
  <c r="C201" i="12"/>
  <c r="C208" i="12" s="1"/>
  <c r="F187" i="12"/>
  <c r="G182" i="12"/>
  <c r="H182" i="12" s="1"/>
  <c r="G181" i="12"/>
  <c r="H181" i="12" s="1"/>
  <c r="G180" i="12"/>
  <c r="G194" i="12" s="1"/>
  <c r="H194" i="12" s="1"/>
  <c r="F189" i="12"/>
  <c r="H189" i="12" s="1"/>
  <c r="H188" i="12"/>
  <c r="C187" i="12"/>
  <c r="D187" i="12"/>
  <c r="F175" i="12"/>
  <c r="H175" i="12" s="1"/>
  <c r="F152" i="12"/>
  <c r="H152" i="12" s="1"/>
  <c r="F137" i="12"/>
  <c r="F79" i="12"/>
  <c r="H79" i="12" s="1"/>
  <c r="F107" i="12"/>
  <c r="H107" i="12" s="1"/>
  <c r="F122" i="12"/>
  <c r="H122" i="12" s="1"/>
  <c r="H174" i="12"/>
  <c r="D173" i="12"/>
  <c r="F146" i="12"/>
  <c r="F161" i="12"/>
  <c r="D132" i="2"/>
  <c r="D132" i="1" s="1"/>
  <c r="D133" i="2"/>
  <c r="D133" i="1" s="1"/>
  <c r="C133" i="2"/>
  <c r="C133" i="1" s="1"/>
  <c r="F88" i="12"/>
  <c r="F116" i="12"/>
  <c r="F131" i="12"/>
  <c r="D161" i="12"/>
  <c r="C161" i="12"/>
  <c r="B160" i="12"/>
  <c r="H158" i="12"/>
  <c r="H157" i="12"/>
  <c r="H156" i="12"/>
  <c r="H155" i="12"/>
  <c r="H154" i="12"/>
  <c r="H153" i="12"/>
  <c r="H151" i="12"/>
  <c r="H166" i="12"/>
  <c r="H167" i="12"/>
  <c r="D146" i="12"/>
  <c r="C146" i="12"/>
  <c r="B145" i="12"/>
  <c r="H143" i="12"/>
  <c r="H142" i="12"/>
  <c r="H141" i="12"/>
  <c r="H140" i="12"/>
  <c r="H139" i="12"/>
  <c r="H138" i="12"/>
  <c r="H137" i="12"/>
  <c r="H136" i="12"/>
  <c r="D131" i="2"/>
  <c r="D131" i="1" s="1"/>
  <c r="D131" i="12"/>
  <c r="C131" i="12"/>
  <c r="B130" i="12"/>
  <c r="H128" i="12"/>
  <c r="H127" i="12"/>
  <c r="H126" i="12"/>
  <c r="H125" i="12"/>
  <c r="H124" i="12"/>
  <c r="H123" i="12"/>
  <c r="H121" i="12"/>
  <c r="D116" i="12"/>
  <c r="C116" i="12"/>
  <c r="B115" i="12"/>
  <c r="H113" i="12"/>
  <c r="H112" i="12"/>
  <c r="H111" i="12"/>
  <c r="H110" i="12"/>
  <c r="H109" i="12"/>
  <c r="H108" i="12"/>
  <c r="H106" i="12"/>
  <c r="D130" i="2"/>
  <c r="D130" i="1" s="1"/>
  <c r="B100" i="12"/>
  <c r="D129" i="2"/>
  <c r="D129" i="1" s="1"/>
  <c r="F101" i="12"/>
  <c r="D101" i="12"/>
  <c r="H96" i="12"/>
  <c r="F37" i="12"/>
  <c r="C129" i="2"/>
  <c r="C129" i="1" s="1"/>
  <c r="H80" i="12"/>
  <c r="H81" i="12"/>
  <c r="H82" i="12"/>
  <c r="H83" i="12"/>
  <c r="H84" i="12"/>
  <c r="H85" i="12"/>
  <c r="H78" i="12"/>
  <c r="D88" i="12"/>
  <c r="C88" i="12"/>
  <c r="B87" i="12"/>
  <c r="D121" i="2"/>
  <c r="D121" i="1" s="1"/>
  <c r="D120" i="2"/>
  <c r="D120" i="1" s="1"/>
  <c r="D123" i="2"/>
  <c r="D123" i="1" s="1"/>
  <c r="D128" i="2"/>
  <c r="D128" i="1" s="1"/>
  <c r="B72" i="12"/>
  <c r="D127" i="2"/>
  <c r="D127" i="1" s="1"/>
  <c r="F73" i="12"/>
  <c r="D126" i="2"/>
  <c r="D126" i="1" s="1"/>
  <c r="G47" i="12"/>
  <c r="G57" i="12" s="1"/>
  <c r="F47" i="12"/>
  <c r="F57" i="12"/>
  <c r="G46" i="12"/>
  <c r="G56" i="12" s="1"/>
  <c r="G67" i="12" s="1"/>
  <c r="G94" i="12" s="1"/>
  <c r="H94" i="12" s="1"/>
  <c r="G48" i="12"/>
  <c r="G58" i="12" s="1"/>
  <c r="G68" i="12" s="1"/>
  <c r="G95" i="12" s="1"/>
  <c r="H95" i="12" s="1"/>
  <c r="G49" i="12"/>
  <c r="G59" i="12" s="1"/>
  <c r="G69" i="12" s="1"/>
  <c r="G97" i="12" s="1"/>
  <c r="H97" i="12" s="1"/>
  <c r="G50" i="12"/>
  <c r="G60" i="12" s="1"/>
  <c r="G70" i="12" s="1"/>
  <c r="G98" i="12" s="1"/>
  <c r="H98" i="12" s="1"/>
  <c r="G45" i="12"/>
  <c r="G55" i="12" s="1"/>
  <c r="G65" i="12" s="1"/>
  <c r="G93" i="12" s="1"/>
  <c r="D125" i="2"/>
  <c r="D125" i="1" s="1"/>
  <c r="D124" i="2"/>
  <c r="D124" i="1" s="1"/>
  <c r="J24" i="1"/>
  <c r="I24" i="1"/>
  <c r="F24" i="2" s="1"/>
  <c r="D24" i="1"/>
  <c r="C24" i="1"/>
  <c r="F70" i="2"/>
  <c r="H118" i="4"/>
  <c r="B3" i="4"/>
  <c r="G86" i="4"/>
  <c r="G84" i="4"/>
  <c r="H103" i="4"/>
  <c r="H102" i="4"/>
  <c r="F105" i="4"/>
  <c r="F104" i="4"/>
  <c r="F66" i="2"/>
  <c r="F65" i="2"/>
  <c r="F64" i="2"/>
  <c r="F50" i="2"/>
  <c r="F55" i="2" s="1"/>
  <c r="F49" i="2"/>
  <c r="F47" i="2"/>
  <c r="F17" i="2"/>
  <c r="C395" i="2"/>
  <c r="C395" i="1" s="1"/>
  <c r="C394" i="2"/>
  <c r="C394" i="1" s="1"/>
  <c r="C393" i="2"/>
  <c r="C393" i="1" s="1"/>
  <c r="C392" i="2"/>
  <c r="C392" i="1" s="1"/>
  <c r="G83" i="2"/>
  <c r="G84" i="2"/>
  <c r="F72" i="2"/>
  <c r="F79" i="2"/>
  <c r="F77" i="2"/>
  <c r="F78" i="2"/>
  <c r="F76" i="2"/>
  <c r="F75" i="2"/>
  <c r="F74" i="2"/>
  <c r="F73" i="2"/>
  <c r="F116" i="4"/>
  <c r="H116" i="4" s="1"/>
  <c r="D70" i="2"/>
  <c r="C70" i="2"/>
  <c r="F117" i="4"/>
  <c r="H117" i="4" s="1"/>
  <c r="H111" i="4"/>
  <c r="H112" i="4"/>
  <c r="H113" i="4"/>
  <c r="H114" i="4"/>
  <c r="H115" i="4"/>
  <c r="H110" i="4"/>
  <c r="F60" i="2"/>
  <c r="F58" i="2" s="1"/>
  <c r="F61" i="2"/>
  <c r="G392" i="2"/>
  <c r="C120" i="2"/>
  <c r="D161" i="2"/>
  <c r="C439" i="1"/>
  <c r="C440" i="1"/>
  <c r="G440" i="2"/>
  <c r="G439" i="2"/>
  <c r="G437" i="2"/>
  <c r="J379" i="1"/>
  <c r="J380" i="1"/>
  <c r="J381" i="1"/>
  <c r="J382" i="1"/>
  <c r="J383" i="1"/>
  <c r="J384" i="1"/>
  <c r="J385" i="1"/>
  <c r="J386" i="1"/>
  <c r="J387" i="1"/>
  <c r="J388" i="1"/>
  <c r="J389" i="1"/>
  <c r="F378" i="2"/>
  <c r="J372" i="1"/>
  <c r="J373" i="1"/>
  <c r="J374" i="1"/>
  <c r="J375" i="1"/>
  <c r="J371" i="1"/>
  <c r="J368" i="1"/>
  <c r="J369" i="1"/>
  <c r="J367" i="1"/>
  <c r="J363" i="1"/>
  <c r="J364" i="1"/>
  <c r="J365" i="1"/>
  <c r="J359" i="1"/>
  <c r="J360" i="1"/>
  <c r="J361" i="1"/>
  <c r="J362" i="1"/>
  <c r="J358" i="1"/>
  <c r="J353" i="1"/>
  <c r="J354" i="1"/>
  <c r="J355" i="1"/>
  <c r="J356" i="1"/>
  <c r="J350" i="1"/>
  <c r="J351" i="1"/>
  <c r="J352" i="1"/>
  <c r="J349" i="1"/>
  <c r="J347" i="1"/>
  <c r="D359" i="1"/>
  <c r="D360" i="1"/>
  <c r="D361" i="1"/>
  <c r="D362" i="1"/>
  <c r="D363" i="1"/>
  <c r="D364" i="1"/>
  <c r="D365" i="1"/>
  <c r="B359" i="1"/>
  <c r="B360" i="1"/>
  <c r="B361" i="1"/>
  <c r="B362" i="1"/>
  <c r="B363" i="1"/>
  <c r="B364" i="1"/>
  <c r="B365" i="1"/>
  <c r="C360" i="1"/>
  <c r="C361" i="1"/>
  <c r="C362" i="1"/>
  <c r="C363" i="1"/>
  <c r="C364" i="1"/>
  <c r="C365" i="1"/>
  <c r="D346" i="1"/>
  <c r="G373" i="2"/>
  <c r="G369" i="2"/>
  <c r="G372" i="2" s="1"/>
  <c r="G368" i="2"/>
  <c r="G371" i="2" s="1"/>
  <c r="C359" i="1"/>
  <c r="H175" i="9"/>
  <c r="C172" i="9"/>
  <c r="G271" i="12" l="1"/>
  <c r="H271" i="12" s="1"/>
  <c r="G96" i="4"/>
  <c r="H84" i="4"/>
  <c r="G97" i="4"/>
  <c r="H86" i="4"/>
  <c r="G272" i="12"/>
  <c r="G282" i="12"/>
  <c r="H374" i="15"/>
  <c r="G367" i="15"/>
  <c r="H367" i="15" s="1"/>
  <c r="H370" i="15" s="1"/>
  <c r="G339" i="2" s="1"/>
  <c r="H360" i="15"/>
  <c r="H363" i="15" s="1"/>
  <c r="G338" i="2" s="1"/>
  <c r="H386" i="15"/>
  <c r="G411" i="15"/>
  <c r="B123" i="4"/>
  <c r="G221" i="12"/>
  <c r="H144" i="12"/>
  <c r="G146" i="12" s="1"/>
  <c r="H146" i="12" s="1"/>
  <c r="G116" i="12"/>
  <c r="H116" i="12" s="1"/>
  <c r="H117" i="12" s="1"/>
  <c r="G130" i="2" s="1"/>
  <c r="H180" i="12"/>
  <c r="G196" i="12"/>
  <c r="G223" i="12" s="1"/>
  <c r="G195" i="12"/>
  <c r="G222" i="12" s="1"/>
  <c r="G169" i="12"/>
  <c r="G183" i="12" s="1"/>
  <c r="G170" i="12"/>
  <c r="G184" i="12" s="1"/>
  <c r="G161" i="12"/>
  <c r="H161" i="12" s="1"/>
  <c r="H162" i="12" s="1"/>
  <c r="G133" i="2" s="1"/>
  <c r="H86" i="12"/>
  <c r="H129" i="12"/>
  <c r="G131" i="12" s="1"/>
  <c r="H131" i="12" s="1"/>
  <c r="H132" i="12" s="1"/>
  <c r="G131" i="2" s="1"/>
  <c r="G70" i="2"/>
  <c r="F59" i="2"/>
  <c r="C368" i="2"/>
  <c r="I13" i="1"/>
  <c r="I14" i="1"/>
  <c r="O161" i="9"/>
  <c r="O163" i="9" s="1"/>
  <c r="G104" i="9"/>
  <c r="G91" i="9"/>
  <c r="G104" i="4" l="1"/>
  <c r="H104" i="4" s="1"/>
  <c r="H97" i="4"/>
  <c r="H87" i="4"/>
  <c r="G393" i="2" s="1"/>
  <c r="G105" i="4"/>
  <c r="H105" i="4" s="1"/>
  <c r="H96" i="4"/>
  <c r="H98" i="4" s="1"/>
  <c r="G394" i="2" s="1"/>
  <c r="H381" i="15"/>
  <c r="G389" i="15" s="1"/>
  <c r="H389" i="15" s="1"/>
  <c r="H390" i="15" s="1"/>
  <c r="H272" i="12"/>
  <c r="G283" i="12"/>
  <c r="H282" i="12"/>
  <c r="G293" i="12"/>
  <c r="H293" i="12" s="1"/>
  <c r="H223" i="12"/>
  <c r="G237" i="12"/>
  <c r="H237" i="12" s="1"/>
  <c r="H222" i="12"/>
  <c r="G236" i="12"/>
  <c r="H236" i="12" s="1"/>
  <c r="H221" i="12"/>
  <c r="G235" i="12"/>
  <c r="G449" i="15"/>
  <c r="H411" i="15"/>
  <c r="H385" i="15"/>
  <c r="G410" i="15"/>
  <c r="H195" i="12"/>
  <c r="H196" i="12"/>
  <c r="H147" i="12"/>
  <c r="G132" i="2" s="1"/>
  <c r="H184" i="12"/>
  <c r="G198" i="12"/>
  <c r="G225" i="12" s="1"/>
  <c r="G197" i="12"/>
  <c r="G224" i="12" s="1"/>
  <c r="H183" i="12"/>
  <c r="O165" i="9"/>
  <c r="O162" i="9"/>
  <c r="O167" i="9"/>
  <c r="O164" i="9"/>
  <c r="O166" i="9"/>
  <c r="I12" i="1"/>
  <c r="H224" i="12" l="1"/>
  <c r="G238" i="12"/>
  <c r="H225" i="12"/>
  <c r="G239" i="12"/>
  <c r="H106" i="4"/>
  <c r="G395" i="2" s="1"/>
  <c r="H283" i="12"/>
  <c r="G294" i="12"/>
  <c r="H294" i="12" s="1"/>
  <c r="G448" i="15"/>
  <c r="H410" i="15"/>
  <c r="H438" i="15"/>
  <c r="G460" i="15"/>
  <c r="H460" i="15" s="1"/>
  <c r="H449" i="15"/>
  <c r="H197" i="12"/>
  <c r="H198" i="12"/>
  <c r="H199" i="12" s="1"/>
  <c r="G201" i="12" s="1"/>
  <c r="H201" i="12" s="1"/>
  <c r="G187" i="12"/>
  <c r="H187" i="12" s="1"/>
  <c r="H190" i="12" s="1"/>
  <c r="G136" i="9"/>
  <c r="G146" i="9" s="1"/>
  <c r="G156" i="9" s="1"/>
  <c r="G134" i="9"/>
  <c r="G144" i="9" s="1"/>
  <c r="G154" i="9" s="1"/>
  <c r="G119" i="9"/>
  <c r="G127" i="9" s="1"/>
  <c r="G137" i="9" s="1"/>
  <c r="G147" i="9" s="1"/>
  <c r="G157" i="9" s="1"/>
  <c r="G103" i="9"/>
  <c r="H91" i="9"/>
  <c r="F85" i="9"/>
  <c r="H80" i="9"/>
  <c r="J36" i="9"/>
  <c r="H239" i="12" l="1"/>
  <c r="G252" i="12"/>
  <c r="G263" i="12" s="1"/>
  <c r="H238" i="12"/>
  <c r="G251" i="12"/>
  <c r="G262" i="12" s="1"/>
  <c r="G228" i="12"/>
  <c r="H433" i="15"/>
  <c r="G344" i="2" s="1"/>
  <c r="H448" i="15"/>
  <c r="H455" i="15" s="1"/>
  <c r="H437" i="15"/>
  <c r="H444" i="15" s="1"/>
  <c r="G459" i="15"/>
  <c r="H459" i="15" s="1"/>
  <c r="H462" i="15" s="1"/>
  <c r="G340" i="2" s="1"/>
  <c r="G208" i="12"/>
  <c r="H235" i="12" s="1"/>
  <c r="H240" i="12" s="1"/>
  <c r="G242" i="12" s="1"/>
  <c r="H208" i="12"/>
  <c r="G105" i="9"/>
  <c r="G120" i="9" s="1"/>
  <c r="G128" i="9" s="1"/>
  <c r="G138" i="9" s="1"/>
  <c r="G148" i="9" s="1"/>
  <c r="G158" i="9" s="1"/>
  <c r="G81" i="9"/>
  <c r="H81" i="9" s="1"/>
  <c r="G22" i="9"/>
  <c r="G30" i="9" s="1"/>
  <c r="G38" i="9" s="1"/>
  <c r="G46" i="9" s="1"/>
  <c r="G54" i="9" s="1"/>
  <c r="G74" i="9" s="1"/>
  <c r="G82" i="9" s="1"/>
  <c r="G93" i="9" s="1"/>
  <c r="G21" i="9"/>
  <c r="G29" i="9" s="1"/>
  <c r="G37" i="9" s="1"/>
  <c r="G45" i="9" s="1"/>
  <c r="G53" i="9" s="1"/>
  <c r="G64" i="9" s="1"/>
  <c r="G72" i="9" s="1"/>
  <c r="G106" i="9" s="1"/>
  <c r="G121" i="9" s="1"/>
  <c r="G129" i="9" s="1"/>
  <c r="G139" i="9" s="1"/>
  <c r="G149" i="9" s="1"/>
  <c r="G159" i="9" s="1"/>
  <c r="G19" i="9"/>
  <c r="G27" i="9" s="1"/>
  <c r="G35" i="9" s="1"/>
  <c r="G52" i="9" s="1"/>
  <c r="G101" i="9" s="1"/>
  <c r="H262" i="12" l="1"/>
  <c r="G284" i="12"/>
  <c r="G295" i="12" s="1"/>
  <c r="H263" i="12"/>
  <c r="G285" i="12"/>
  <c r="G296" i="12" s="1"/>
  <c r="H228" i="12"/>
  <c r="G138" i="2" s="1"/>
  <c r="H242" i="12"/>
  <c r="H245" i="12" s="1"/>
  <c r="G139" i="2" s="1"/>
  <c r="G167" i="9"/>
  <c r="G166" i="9"/>
  <c r="G164" i="9"/>
  <c r="G92" i="9"/>
  <c r="H59" i="12"/>
  <c r="H60" i="12"/>
  <c r="H58" i="12"/>
  <c r="H48" i="12"/>
  <c r="G169" i="9" l="1"/>
  <c r="G177" i="9" s="1"/>
  <c r="G187" i="9" s="1"/>
  <c r="G168" i="9"/>
  <c r="G176" i="9" s="1"/>
  <c r="G186" i="9" s="1"/>
  <c r="H39" i="12"/>
  <c r="H40" i="12"/>
  <c r="T29" i="12"/>
  <c r="H38" i="12"/>
  <c r="C93" i="1"/>
  <c r="C94" i="1"/>
  <c r="C95" i="1"/>
  <c r="H186" i="9" l="1"/>
  <c r="G197" i="9"/>
  <c r="H197" i="9" s="1"/>
  <c r="H187" i="9"/>
  <c r="G198" i="9"/>
  <c r="H198" i="9" s="1"/>
  <c r="H176" i="9"/>
  <c r="H177" i="9"/>
  <c r="F95" i="2"/>
  <c r="E94" i="1"/>
  <c r="E93" i="1"/>
  <c r="J89" i="1"/>
  <c r="J90" i="1"/>
  <c r="J91" i="1"/>
  <c r="J92" i="1"/>
  <c r="J93" i="1"/>
  <c r="J94" i="1"/>
  <c r="J95" i="1"/>
  <c r="I91" i="1"/>
  <c r="F91" i="2" s="1"/>
  <c r="I90" i="1"/>
  <c r="F90" i="2" s="1"/>
  <c r="D91" i="1"/>
  <c r="C91" i="1"/>
  <c r="B91" i="1"/>
  <c r="H199" i="9" l="1"/>
  <c r="G209" i="2" s="1"/>
  <c r="H188" i="9"/>
  <c r="G205" i="2" s="1"/>
  <c r="D93" i="1"/>
  <c r="D94" i="1"/>
  <c r="D95" i="1"/>
  <c r="B92" i="1"/>
  <c r="B93" i="1"/>
  <c r="B94" i="1"/>
  <c r="B95" i="1"/>
  <c r="C92" i="1"/>
  <c r="B90" i="1"/>
  <c r="D90" i="1"/>
  <c r="D92" i="1"/>
  <c r="I88" i="1"/>
  <c r="F88" i="2" s="1"/>
  <c r="D89" i="1"/>
  <c r="D88" i="1"/>
  <c r="I89" i="1"/>
  <c r="L90" i="1" l="1"/>
  <c r="F89" i="2"/>
  <c r="I92" i="1"/>
  <c r="J88" i="1"/>
  <c r="C89" i="1"/>
  <c r="C88" i="1"/>
  <c r="B89" i="1"/>
  <c r="B88" i="1"/>
  <c r="I93" i="1" l="1"/>
  <c r="F92" i="2"/>
  <c r="C409" i="1"/>
  <c r="I406" i="1"/>
  <c r="F406" i="2" s="1"/>
  <c r="D406" i="1"/>
  <c r="C406" i="1"/>
  <c r="B406" i="1"/>
  <c r="F403" i="2"/>
  <c r="F405" i="2"/>
  <c r="F402" i="2"/>
  <c r="I404" i="1"/>
  <c r="F404" i="2" s="1"/>
  <c r="F93" i="2" l="1"/>
  <c r="L92" i="1"/>
  <c r="J399" i="1"/>
  <c r="J392" i="1"/>
  <c r="J393" i="1"/>
  <c r="J394" i="1"/>
  <c r="J395" i="1"/>
  <c r="J396" i="1"/>
  <c r="J397" i="1"/>
  <c r="J398" i="1"/>
  <c r="J390" i="1"/>
  <c r="J391" i="1"/>
  <c r="J378" i="1"/>
  <c r="D378" i="2" l="1"/>
  <c r="H45" i="4"/>
  <c r="H46" i="4"/>
  <c r="H44" i="4"/>
  <c r="C378" i="2"/>
  <c r="H47" i="4" l="1"/>
  <c r="G378" i="2" s="1"/>
  <c r="C28" i="3"/>
  <c r="C46" i="7" s="1"/>
  <c r="C27" i="3"/>
  <c r="C44" i="7" s="1"/>
  <c r="B28" i="3"/>
  <c r="B46" i="7" s="1"/>
  <c r="B27" i="3"/>
  <c r="B44" i="7" s="1"/>
  <c r="I114" i="1" l="1"/>
  <c r="I115" i="1" s="1"/>
  <c r="I116" i="1" s="1"/>
  <c r="I420" i="1" l="1"/>
  <c r="I442" i="1"/>
  <c r="I117" i="1" l="1"/>
  <c r="I94" i="1" s="1"/>
  <c r="F94" i="2" s="1"/>
  <c r="F106" i="2"/>
  <c r="F107" i="2"/>
  <c r="F108" i="2"/>
  <c r="F110" i="2"/>
  <c r="F115" i="2" l="1"/>
  <c r="F116" i="2"/>
  <c r="F117" i="2"/>
  <c r="J114" i="1"/>
  <c r="J115" i="1"/>
  <c r="J116" i="1"/>
  <c r="J117" i="1"/>
  <c r="F109" i="2"/>
  <c r="J106" i="1" l="1"/>
  <c r="J107" i="1"/>
  <c r="J108" i="1"/>
  <c r="J109" i="1"/>
  <c r="J110" i="1"/>
  <c r="F113" i="2"/>
  <c r="D113" i="1"/>
  <c r="C113" i="1"/>
  <c r="I98" i="1" l="1"/>
  <c r="F98" i="2" s="1"/>
  <c r="E100" i="2" l="1"/>
  <c r="F420" i="2" l="1"/>
  <c r="F417" i="2"/>
  <c r="F415" i="2"/>
  <c r="D420" i="1"/>
  <c r="I419" i="1"/>
  <c r="F419" i="2" s="1"/>
  <c r="F418" i="2"/>
  <c r="J416" i="1"/>
  <c r="J417" i="1"/>
  <c r="J418" i="1"/>
  <c r="J419" i="1"/>
  <c r="J420" i="1"/>
  <c r="J415" i="1"/>
  <c r="D418" i="1"/>
  <c r="D419" i="1"/>
  <c r="C416" i="1"/>
  <c r="C417" i="1"/>
  <c r="C418" i="1"/>
  <c r="C419" i="1"/>
  <c r="C420" i="1"/>
  <c r="I416" i="1"/>
  <c r="F416" i="2" s="1"/>
  <c r="E444" i="1" l="1"/>
  <c r="E445" i="1" s="1"/>
  <c r="D445" i="1"/>
  <c r="C445" i="1"/>
  <c r="F442" i="2"/>
  <c r="I440" i="1"/>
  <c r="F440" i="2" s="1"/>
  <c r="E439" i="1"/>
  <c r="I438" i="1"/>
  <c r="F438" i="2" s="1"/>
  <c r="I433" i="1"/>
  <c r="F433" i="2" s="1"/>
  <c r="D438" i="1"/>
  <c r="D439" i="1"/>
  <c r="D440" i="1"/>
  <c r="C438" i="1"/>
  <c r="D433" i="1"/>
  <c r="D434" i="1"/>
  <c r="D435" i="1"/>
  <c r="C433" i="1"/>
  <c r="C434" i="1"/>
  <c r="C435" i="1"/>
  <c r="I429" i="1"/>
  <c r="F429" i="2" s="1"/>
  <c r="I430" i="1"/>
  <c r="F430" i="2" s="1"/>
  <c r="D425" i="1"/>
  <c r="D426" i="1"/>
  <c r="D427" i="1"/>
  <c r="D428" i="1"/>
  <c r="D429" i="1"/>
  <c r="D430" i="1"/>
  <c r="C425" i="1"/>
  <c r="C426" i="1"/>
  <c r="C427" i="1"/>
  <c r="C428" i="1"/>
  <c r="C429" i="1"/>
  <c r="C430" i="1"/>
  <c r="I437" i="1"/>
  <c r="F437" i="2" s="1"/>
  <c r="C437" i="1"/>
  <c r="D437" i="1"/>
  <c r="I426" i="1"/>
  <c r="F426" i="2" s="1"/>
  <c r="I425" i="1"/>
  <c r="F425" i="2" s="1"/>
  <c r="I427" i="1"/>
  <c r="F427" i="2" s="1"/>
  <c r="I424" i="1"/>
  <c r="F424" i="2" s="1"/>
  <c r="L365" i="1"/>
  <c r="C424" i="1"/>
  <c r="D424" i="1"/>
  <c r="I435" i="1"/>
  <c r="F435" i="2" s="1"/>
  <c r="I432" i="1"/>
  <c r="F432" i="2" s="1"/>
  <c r="I434" i="1"/>
  <c r="F434" i="2" s="1"/>
  <c r="I428" i="1"/>
  <c r="F428" i="2" s="1"/>
  <c r="I18" i="1"/>
  <c r="F18" i="2" s="1"/>
  <c r="I439" i="1" l="1"/>
  <c r="F439" i="2" s="1"/>
  <c r="I443" i="1"/>
  <c r="I444" i="1" s="1"/>
  <c r="I445" i="1" s="1"/>
  <c r="F445" i="2" s="1"/>
  <c r="H66" i="4"/>
  <c r="H65" i="4"/>
  <c r="I450" i="1"/>
  <c r="F450" i="2" s="1"/>
  <c r="I25" i="1"/>
  <c r="I449" i="1"/>
  <c r="F443" i="2" l="1"/>
  <c r="F444" i="2"/>
  <c r="D43" i="1"/>
  <c r="C43" i="1"/>
  <c r="B43" i="1"/>
  <c r="D42" i="1"/>
  <c r="C42" i="1"/>
  <c r="B42" i="1"/>
  <c r="O42" i="4"/>
  <c r="O43" i="4" s="1"/>
  <c r="H174" i="9"/>
  <c r="H178" i="9" l="1"/>
  <c r="G347" i="2" s="1"/>
  <c r="O47" i="4"/>
  <c r="O46" i="4"/>
  <c r="O45" i="4"/>
  <c r="O44" i="4"/>
  <c r="D450" i="1"/>
  <c r="D442" i="1"/>
  <c r="D443" i="1"/>
  <c r="D444" i="1"/>
  <c r="C443" i="1"/>
  <c r="C444" i="1"/>
  <c r="C442" i="1"/>
  <c r="C432" i="1"/>
  <c r="D432" i="1"/>
  <c r="C415" i="1"/>
  <c r="D415" i="1"/>
  <c r="D416" i="1"/>
  <c r="D417" i="1"/>
  <c r="C402" i="1"/>
  <c r="D402" i="1"/>
  <c r="C403" i="1"/>
  <c r="D403" i="1"/>
  <c r="C404" i="1"/>
  <c r="D404" i="1"/>
  <c r="C405" i="1"/>
  <c r="D405" i="1"/>
  <c r="B402" i="1"/>
  <c r="B403" i="1"/>
  <c r="B404" i="1"/>
  <c r="B405" i="1"/>
  <c r="C378" i="1"/>
  <c r="D378" i="1"/>
  <c r="B378" i="1"/>
  <c r="C371" i="1"/>
  <c r="D371" i="1"/>
  <c r="C372" i="1"/>
  <c r="D372" i="1"/>
  <c r="C373" i="1"/>
  <c r="D373" i="1"/>
  <c r="C374" i="1"/>
  <c r="D374" i="1"/>
  <c r="C375" i="1"/>
  <c r="D375" i="1"/>
  <c r="B372" i="1"/>
  <c r="B373" i="1"/>
  <c r="B374" i="1"/>
  <c r="B375" i="1"/>
  <c r="B371" i="1"/>
  <c r="C367" i="1"/>
  <c r="D367" i="1"/>
  <c r="C368" i="1"/>
  <c r="D368" i="1"/>
  <c r="C369" i="1"/>
  <c r="D369" i="1"/>
  <c r="B368" i="1"/>
  <c r="B369" i="1"/>
  <c r="B367" i="1"/>
  <c r="C358" i="1"/>
  <c r="D358" i="1"/>
  <c r="B358" i="1"/>
  <c r="C347" i="1"/>
  <c r="D347" i="1"/>
  <c r="C349" i="1"/>
  <c r="D349" i="1"/>
  <c r="C350" i="1"/>
  <c r="D350" i="1"/>
  <c r="C351" i="1"/>
  <c r="D351" i="1"/>
  <c r="C352" i="1"/>
  <c r="D352" i="1"/>
  <c r="C353" i="1"/>
  <c r="D353" i="1"/>
  <c r="C354" i="1"/>
  <c r="D354" i="1"/>
  <c r="C355" i="1"/>
  <c r="D355" i="1"/>
  <c r="C356" i="1"/>
  <c r="D356" i="1"/>
  <c r="B350" i="1"/>
  <c r="B351" i="1"/>
  <c r="B352" i="1"/>
  <c r="B353" i="1"/>
  <c r="B354" i="1"/>
  <c r="B355" i="1"/>
  <c r="B356" i="1"/>
  <c r="B349" i="1"/>
  <c r="B347" i="1"/>
  <c r="D409" i="1"/>
  <c r="C410" i="1"/>
  <c r="D410" i="1"/>
  <c r="C411" i="1"/>
  <c r="D411" i="1"/>
  <c r="C412" i="1"/>
  <c r="D412" i="1"/>
  <c r="D182" i="1"/>
  <c r="D183" i="1"/>
  <c r="D184" i="1"/>
  <c r="D185" i="1"/>
  <c r="D186" i="1"/>
  <c r="D187" i="1"/>
  <c r="D188" i="1"/>
  <c r="D189" i="1"/>
  <c r="D190" i="1"/>
  <c r="D191" i="1"/>
  <c r="D192" i="1"/>
  <c r="C147" i="1"/>
  <c r="D147" i="1"/>
  <c r="C148" i="1"/>
  <c r="D148" i="1"/>
  <c r="C149" i="1"/>
  <c r="D149" i="1"/>
  <c r="C150" i="1"/>
  <c r="D150" i="1"/>
  <c r="D151" i="1"/>
  <c r="D152" i="1"/>
  <c r="C153" i="1"/>
  <c r="D153" i="1"/>
  <c r="D154" i="1"/>
  <c r="D155" i="1"/>
  <c r="C156" i="1"/>
  <c r="D156" i="1"/>
  <c r="D157" i="1"/>
  <c r="C158" i="1"/>
  <c r="D158" i="1"/>
  <c r="C159" i="1"/>
  <c r="D159" i="1"/>
  <c r="C160" i="1"/>
  <c r="D160" i="1"/>
  <c r="D161" i="1"/>
  <c r="D162" i="1"/>
  <c r="D163" i="1"/>
  <c r="D164" i="1"/>
  <c r="D165" i="1"/>
  <c r="D166" i="1"/>
  <c r="D167" i="1"/>
  <c r="C168" i="1"/>
  <c r="D168" i="1"/>
  <c r="B148" i="1"/>
  <c r="B149" i="1"/>
  <c r="B150" i="1"/>
  <c r="B151" i="1"/>
  <c r="B152" i="1"/>
  <c r="B153" i="1"/>
  <c r="B154" i="1"/>
  <c r="B155" i="1"/>
  <c r="B156" i="1"/>
  <c r="B157" i="1"/>
  <c r="B158" i="1"/>
  <c r="B159" i="1"/>
  <c r="B160" i="1"/>
  <c r="B161" i="1"/>
  <c r="B162" i="1"/>
  <c r="B163" i="1"/>
  <c r="B164" i="1"/>
  <c r="B165" i="1"/>
  <c r="B166" i="1"/>
  <c r="B167" i="1"/>
  <c r="B168" i="1"/>
  <c r="B147" i="1"/>
  <c r="B120" i="1"/>
  <c r="C114" i="1"/>
  <c r="D114" i="1"/>
  <c r="C115" i="1"/>
  <c r="D115" i="1"/>
  <c r="C116" i="1"/>
  <c r="D116" i="1"/>
  <c r="C117" i="1"/>
  <c r="D117" i="1"/>
  <c r="B114" i="1"/>
  <c r="B115" i="1"/>
  <c r="B116" i="1"/>
  <c r="B117" i="1"/>
  <c r="B106" i="1"/>
  <c r="C98" i="1"/>
  <c r="B98" i="1"/>
  <c r="B81" i="1"/>
  <c r="D70" i="1"/>
  <c r="B70" i="1"/>
  <c r="B29" i="1"/>
  <c r="C29" i="1"/>
  <c r="D29" i="1"/>
  <c r="B30" i="1"/>
  <c r="C30" i="1"/>
  <c r="D30" i="1"/>
  <c r="B31" i="1"/>
  <c r="C31" i="1"/>
  <c r="D31" i="1"/>
  <c r="B32" i="1"/>
  <c r="C32" i="1"/>
  <c r="D32" i="1"/>
  <c r="B33" i="1"/>
  <c r="C33" i="1"/>
  <c r="D33" i="1"/>
  <c r="B34" i="1"/>
  <c r="C34" i="1"/>
  <c r="D34" i="1"/>
  <c r="B35" i="1"/>
  <c r="C35" i="1"/>
  <c r="D35" i="1"/>
  <c r="B36" i="1"/>
  <c r="C36" i="1"/>
  <c r="D36" i="1"/>
  <c r="B37" i="1"/>
  <c r="C37" i="1"/>
  <c r="D37" i="1"/>
  <c r="B38" i="1"/>
  <c r="C38" i="1"/>
  <c r="D38" i="1"/>
  <c r="B39" i="1"/>
  <c r="C39" i="1"/>
  <c r="D39" i="1"/>
  <c r="B40" i="1"/>
  <c r="C40" i="1"/>
  <c r="D40" i="1"/>
  <c r="B41" i="1"/>
  <c r="C41" i="1"/>
  <c r="D41" i="1"/>
  <c r="C28" i="1"/>
  <c r="D28" i="1"/>
  <c r="B28" i="1"/>
  <c r="H16" i="12" l="1"/>
  <c r="D20" i="12"/>
  <c r="G32" i="4" l="1"/>
  <c r="G38" i="4" s="1"/>
  <c r="I38" i="1" l="1"/>
  <c r="I42" i="1" s="1"/>
  <c r="I43" i="1" s="1"/>
  <c r="F43" i="2" l="1"/>
  <c r="F42" i="2"/>
  <c r="I37" i="1"/>
  <c r="I36" i="1"/>
  <c r="I29" i="1" l="1"/>
  <c r="J23" i="1"/>
  <c r="J25" i="1"/>
  <c r="J22" i="1"/>
  <c r="J13" i="1"/>
  <c r="J14" i="1"/>
  <c r="J15" i="1"/>
  <c r="J17" i="1"/>
  <c r="J18" i="1"/>
  <c r="J12" i="1"/>
  <c r="I28" i="1"/>
  <c r="F25" i="2" l="1"/>
  <c r="I23" i="1"/>
  <c r="F23" i="2" s="1"/>
  <c r="I22" i="1"/>
  <c r="D23" i="1"/>
  <c r="D25" i="1"/>
  <c r="D22" i="1"/>
  <c r="C23" i="1"/>
  <c r="C25" i="1"/>
  <c r="C22" i="1"/>
  <c r="I15" i="1" l="1"/>
  <c r="F15" i="2" s="1"/>
  <c r="F14" i="2"/>
  <c r="F13" i="2"/>
  <c r="B12" i="1" l="1"/>
  <c r="D12" i="1"/>
  <c r="C132" i="2" l="1"/>
  <c r="C132" i="1" s="1"/>
  <c r="C131" i="2"/>
  <c r="C131" i="1" s="1"/>
  <c r="C130" i="2"/>
  <c r="C130" i="1" s="1"/>
  <c r="C128" i="2"/>
  <c r="C128" i="1" s="1"/>
  <c r="D144" i="2" l="1"/>
  <c r="D144" i="1" s="1"/>
  <c r="D143" i="2"/>
  <c r="D143" i="1" s="1"/>
  <c r="D142" i="2"/>
  <c r="D142" i="1" s="1"/>
  <c r="C144" i="2"/>
  <c r="C144" i="1" s="1"/>
  <c r="C143" i="2"/>
  <c r="C143" i="1" s="1"/>
  <c r="C142" i="2"/>
  <c r="C142" i="1" s="1"/>
  <c r="C141" i="2"/>
  <c r="C141" i="1" s="1"/>
  <c r="D141" i="2"/>
  <c r="D141" i="1" s="1"/>
  <c r="D140" i="2"/>
  <c r="D140" i="1" s="1"/>
  <c r="C140" i="2"/>
  <c r="C140" i="1" s="1"/>
  <c r="D299" i="12"/>
  <c r="D288" i="12"/>
  <c r="D277" i="12"/>
  <c r="D266" i="12"/>
  <c r="D255" i="12"/>
  <c r="F299" i="12"/>
  <c r="F288" i="12"/>
  <c r="C299" i="12"/>
  <c r="H296" i="12"/>
  <c r="H295" i="12"/>
  <c r="C288" i="12"/>
  <c r="H285" i="12"/>
  <c r="H284" i="12"/>
  <c r="F277" i="12"/>
  <c r="C277" i="12"/>
  <c r="H274" i="12"/>
  <c r="H273" i="12"/>
  <c r="H275" i="12" s="1"/>
  <c r="G277" i="12" s="1"/>
  <c r="F266" i="12"/>
  <c r="F255" i="12"/>
  <c r="C266" i="12"/>
  <c r="C255" i="12"/>
  <c r="H250" i="12"/>
  <c r="H251" i="12"/>
  <c r="H252" i="12"/>
  <c r="H249" i="12"/>
  <c r="H253" i="12" l="1"/>
  <c r="G255" i="12" s="1"/>
  <c r="H288" i="12"/>
  <c r="H277" i="12"/>
  <c r="G299" i="12"/>
  <c r="H299" i="12" s="1"/>
  <c r="H266" i="12"/>
  <c r="C8" i="7"/>
  <c r="C6" i="1" s="1"/>
  <c r="C6" i="7"/>
  <c r="C4" i="1" s="1"/>
  <c r="B7" i="7"/>
  <c r="B5" i="1" s="1"/>
  <c r="B8" i="7"/>
  <c r="B6" i="1" s="1"/>
  <c r="B9" i="7"/>
  <c r="B7" i="1" s="1"/>
  <c r="B6" i="7"/>
  <c r="B4" i="1" s="1"/>
  <c r="H300" i="12" l="1"/>
  <c r="G144" i="2" s="1"/>
  <c r="H267" i="12"/>
  <c r="G141" i="2" s="1"/>
  <c r="H289" i="12"/>
  <c r="G143" i="2" s="1"/>
  <c r="H278" i="12"/>
  <c r="G142" i="2" s="1"/>
  <c r="H255" i="12"/>
  <c r="H256" i="12" s="1"/>
  <c r="G140" i="2" s="1"/>
  <c r="C136" i="2" l="1"/>
  <c r="C136" i="1" s="1"/>
  <c r="C138" i="2"/>
  <c r="C138" i="1" s="1"/>
  <c r="H215" i="12" l="1"/>
  <c r="H213" i="12"/>
  <c r="H212" i="12"/>
  <c r="H214" i="12"/>
  <c r="H216" i="12"/>
  <c r="C137" i="2"/>
  <c r="C137" i="1" s="1"/>
  <c r="H211" i="12" l="1"/>
  <c r="H217" i="12" s="1"/>
  <c r="C135" i="2"/>
  <c r="C135" i="1" s="1"/>
  <c r="F173" i="12"/>
  <c r="C134" i="2"/>
  <c r="C134" i="1" s="1"/>
  <c r="C173" i="12"/>
  <c r="H170" i="12"/>
  <c r="H169" i="12"/>
  <c r="H168" i="12"/>
  <c r="C101" i="12"/>
  <c r="H93" i="12"/>
  <c r="G88" i="12" l="1"/>
  <c r="H88" i="12" s="1"/>
  <c r="H89" i="12" s="1"/>
  <c r="G128" i="2" s="1"/>
  <c r="G135" i="2"/>
  <c r="G137" i="2"/>
  <c r="G173" i="12"/>
  <c r="H173" i="12" s="1"/>
  <c r="G101" i="12"/>
  <c r="H101" i="12" s="1"/>
  <c r="H102" i="12" s="1"/>
  <c r="G129" i="2" s="1"/>
  <c r="C73" i="12"/>
  <c r="H67" i="12"/>
  <c r="C127" i="2"/>
  <c r="C127" i="1" s="1"/>
  <c r="H70" i="12"/>
  <c r="H69" i="12"/>
  <c r="H68" i="12"/>
  <c r="H66" i="12"/>
  <c r="H65" i="12"/>
  <c r="T32" i="12"/>
  <c r="C126" i="2"/>
  <c r="C126" i="1" s="1"/>
  <c r="H56" i="12"/>
  <c r="H55" i="12"/>
  <c r="H45" i="12"/>
  <c r="R32" i="12"/>
  <c r="P32" i="12"/>
  <c r="P34" i="12" s="1"/>
  <c r="H36" i="12"/>
  <c r="C125" i="2"/>
  <c r="C125" i="1" s="1"/>
  <c r="H50" i="12"/>
  <c r="H49" i="12"/>
  <c r="H46" i="12"/>
  <c r="G134" i="2" l="1"/>
  <c r="P37" i="12"/>
  <c r="P36" i="12"/>
  <c r="Q36" i="12" s="1"/>
  <c r="H37" i="12" s="1"/>
  <c r="Q34" i="12"/>
  <c r="T37" i="12"/>
  <c r="U37" i="12" s="1"/>
  <c r="T36" i="12"/>
  <c r="U36" i="12" s="1"/>
  <c r="R34" i="12"/>
  <c r="S34" i="12" s="1"/>
  <c r="R36" i="12"/>
  <c r="S36" i="12" s="1"/>
  <c r="H47" i="12" s="1"/>
  <c r="R37" i="12"/>
  <c r="S37" i="12" s="1"/>
  <c r="H71" i="12"/>
  <c r="R39" i="12"/>
  <c r="S39" i="12" s="1"/>
  <c r="T35" i="12"/>
  <c r="U35" i="12" s="1"/>
  <c r="P35" i="12"/>
  <c r="Q35" i="12" s="1"/>
  <c r="P39" i="12"/>
  <c r="Q39" i="12" s="1"/>
  <c r="R35" i="12"/>
  <c r="S35" i="12" s="1"/>
  <c r="T34" i="12"/>
  <c r="U34" i="12" s="1"/>
  <c r="T39" i="12"/>
  <c r="U39" i="12" s="1"/>
  <c r="Q37" i="12"/>
  <c r="H35" i="12"/>
  <c r="C124" i="2"/>
  <c r="C124" i="1" s="1"/>
  <c r="C123" i="2"/>
  <c r="C123" i="1" s="1"/>
  <c r="F30" i="12"/>
  <c r="H30" i="12" s="1"/>
  <c r="H31" i="12" s="1"/>
  <c r="G123" i="2" s="1"/>
  <c r="C121" i="2"/>
  <c r="C121" i="1" s="1"/>
  <c r="F25" i="12"/>
  <c r="H25" i="12" s="1"/>
  <c r="H41" i="12" l="1"/>
  <c r="G125" i="2"/>
  <c r="H57" i="12"/>
  <c r="G73" i="12"/>
  <c r="H73" i="12" s="1"/>
  <c r="H74" i="12" s="1"/>
  <c r="G127" i="2" s="1"/>
  <c r="H26" i="12"/>
  <c r="G121" i="2" s="1"/>
  <c r="H61" i="12" l="1"/>
  <c r="G126" i="2" s="1"/>
  <c r="G124" i="2"/>
  <c r="F20" i="12"/>
  <c r="H15" i="12"/>
  <c r="H12" i="12"/>
  <c r="H13" i="12"/>
  <c r="H14" i="12"/>
  <c r="H17" i="12"/>
  <c r="H11" i="12"/>
  <c r="G20" i="12" l="1"/>
  <c r="C70" i="1"/>
  <c r="F114" i="2"/>
  <c r="C25" i="3"/>
  <c r="C40" i="7" s="1"/>
  <c r="C24" i="3"/>
  <c r="C38" i="7" s="1"/>
  <c r="B25" i="3"/>
  <c r="B40" i="7" s="1"/>
  <c r="B24" i="3"/>
  <c r="B38" i="7" s="1"/>
  <c r="C120" i="1" l="1"/>
  <c r="C20" i="12"/>
  <c r="H20" i="12" l="1"/>
  <c r="G120" i="2" l="1"/>
  <c r="C90" i="1"/>
  <c r="C450" i="2" l="1"/>
  <c r="C450" i="1" s="1"/>
  <c r="C21" i="3" l="1"/>
  <c r="B21" i="3"/>
  <c r="H60" i="4"/>
  <c r="C32" i="7" l="1"/>
  <c r="B32" i="7"/>
  <c r="H67" i="4"/>
  <c r="G450" i="2" s="1"/>
  <c r="H61" i="4"/>
  <c r="G415" i="2" s="1"/>
  <c r="D15" i="13" l="1"/>
  <c r="D20" i="13" l="1"/>
  <c r="F6" i="4"/>
  <c r="F7" i="2"/>
  <c r="H6" i="15" l="1"/>
  <c r="H6" i="12"/>
  <c r="H6" i="4"/>
  <c r="H6" i="9"/>
  <c r="H5" i="16"/>
  <c r="F7" i="12"/>
  <c r="F7" i="15"/>
  <c r="F7" i="9"/>
  <c r="F6" i="2"/>
  <c r="F7" i="4"/>
  <c r="C52" i="7"/>
  <c r="C29" i="3"/>
  <c r="C48" i="7" s="1"/>
  <c r="C26" i="3"/>
  <c r="C42" i="7" s="1"/>
  <c r="C36" i="7"/>
  <c r="C22" i="3"/>
  <c r="C34" i="7" s="1"/>
  <c r="C20" i="3"/>
  <c r="C19" i="3"/>
  <c r="C18" i="3"/>
  <c r="C17" i="3"/>
  <c r="C16" i="3"/>
  <c r="C15" i="3"/>
  <c r="C14" i="3"/>
  <c r="C13" i="3"/>
  <c r="C12" i="3"/>
  <c r="B52" i="7"/>
  <c r="B29" i="3"/>
  <c r="B48" i="7" s="1"/>
  <c r="B26" i="3"/>
  <c r="B36" i="7"/>
  <c r="B22" i="3"/>
  <c r="B34" i="7" s="1"/>
  <c r="B20" i="3"/>
  <c r="B19" i="3"/>
  <c r="B18" i="3"/>
  <c r="B17" i="3"/>
  <c r="B16" i="3"/>
  <c r="B15" i="3"/>
  <c r="B14" i="3"/>
  <c r="B13" i="3"/>
  <c r="B12" i="3"/>
  <c r="C11" i="3"/>
  <c r="B11" i="3"/>
  <c r="H214" i="2" l="1"/>
  <c r="I214" i="2" s="1"/>
  <c r="H215" i="2"/>
  <c r="I215" i="2" s="1"/>
  <c r="H224" i="2"/>
  <c r="I224" i="2" s="1"/>
  <c r="H222" i="2"/>
  <c r="I222" i="2" s="1"/>
  <c r="H200" i="2"/>
  <c r="I200" i="2" s="1"/>
  <c r="H208" i="2"/>
  <c r="I208" i="2" s="1"/>
  <c r="H172" i="2"/>
  <c r="I172" i="2" s="1"/>
  <c r="L35" i="7" s="1"/>
  <c r="H223" i="2"/>
  <c r="I223" i="2" s="1"/>
  <c r="H201" i="2"/>
  <c r="I201" i="2" s="1"/>
  <c r="H209" i="2"/>
  <c r="I209" i="2" s="1"/>
  <c r="H217" i="2"/>
  <c r="I217" i="2" s="1"/>
  <c r="H202" i="2"/>
  <c r="I202" i="2" s="1"/>
  <c r="H210" i="2"/>
  <c r="I210" i="2" s="1"/>
  <c r="H171" i="2"/>
  <c r="I171" i="2" s="1"/>
  <c r="I35" i="7" s="1"/>
  <c r="H195" i="2"/>
  <c r="I195" i="2" s="1"/>
  <c r="H203" i="2"/>
  <c r="I203" i="2" s="1"/>
  <c r="H211" i="2"/>
  <c r="I211" i="2" s="1"/>
  <c r="H218" i="2"/>
  <c r="I218" i="2" s="1"/>
  <c r="H196" i="2"/>
  <c r="I196" i="2" s="1"/>
  <c r="H204" i="2"/>
  <c r="I204" i="2" s="1"/>
  <c r="H212" i="2"/>
  <c r="I212" i="2" s="1"/>
  <c r="H207" i="2"/>
  <c r="I207" i="2" s="1"/>
  <c r="H219" i="2"/>
  <c r="I219" i="2" s="1"/>
  <c r="H197" i="2"/>
  <c r="I197" i="2" s="1"/>
  <c r="H205" i="2"/>
  <c r="I205" i="2" s="1"/>
  <c r="H213" i="2"/>
  <c r="I213" i="2" s="1"/>
  <c r="H199" i="2"/>
  <c r="I199" i="2" s="1"/>
  <c r="H220" i="2"/>
  <c r="I220" i="2" s="1"/>
  <c r="H198" i="2"/>
  <c r="I198" i="2" s="1"/>
  <c r="H206" i="2"/>
  <c r="I206" i="2" s="1"/>
  <c r="H194" i="2"/>
  <c r="I194" i="2" s="1"/>
  <c r="H221" i="2"/>
  <c r="I221" i="2" s="1"/>
  <c r="H19" i="2"/>
  <c r="I19" i="2" s="1"/>
  <c r="H335" i="2"/>
  <c r="I335" i="2" s="1"/>
  <c r="H334" i="2"/>
  <c r="I334" i="2" s="1"/>
  <c r="H336" i="2"/>
  <c r="I336" i="2" s="1"/>
  <c r="H242" i="2"/>
  <c r="I242" i="2" s="1"/>
  <c r="H453" i="2"/>
  <c r="I453" i="2" s="1"/>
  <c r="H454" i="2"/>
  <c r="I454" i="2" s="1"/>
  <c r="H457" i="2"/>
  <c r="I457" i="2" s="1"/>
  <c r="H455" i="2"/>
  <c r="I455" i="2" s="1"/>
  <c r="H456" i="2"/>
  <c r="I456" i="2" s="1"/>
  <c r="H240" i="2"/>
  <c r="I240" i="2" s="1"/>
  <c r="H238" i="2"/>
  <c r="I238" i="2" s="1"/>
  <c r="H192" i="2"/>
  <c r="I192" i="2" s="1"/>
  <c r="H183" i="2"/>
  <c r="I183" i="2" s="1"/>
  <c r="H174" i="2"/>
  <c r="I174" i="2" s="1"/>
  <c r="H234" i="2"/>
  <c r="I234" i="2" s="1"/>
  <c r="H245" i="2"/>
  <c r="I245" i="2" s="1"/>
  <c r="H257" i="2"/>
  <c r="I257" i="2" s="1"/>
  <c r="H268" i="2"/>
  <c r="I268" i="2" s="1"/>
  <c r="H276" i="2"/>
  <c r="I276" i="2" s="1"/>
  <c r="H284" i="2"/>
  <c r="I284" i="2" s="1"/>
  <c r="H294" i="2"/>
  <c r="I294" i="2" s="1"/>
  <c r="H302" i="2"/>
  <c r="I302" i="2" s="1"/>
  <c r="H311" i="2"/>
  <c r="I311" i="2" s="1"/>
  <c r="H319" i="2"/>
  <c r="I319" i="2" s="1"/>
  <c r="H328" i="2"/>
  <c r="I328" i="2" s="1"/>
  <c r="H343" i="2"/>
  <c r="I343" i="2" s="1"/>
  <c r="H310" i="2"/>
  <c r="I310" i="2" s="1"/>
  <c r="H186" i="2"/>
  <c r="I186" i="2" s="1"/>
  <c r="H184" i="2"/>
  <c r="I184" i="2" s="1"/>
  <c r="H227" i="2"/>
  <c r="I227" i="2" s="1"/>
  <c r="H235" i="2"/>
  <c r="I235" i="2" s="1"/>
  <c r="H246" i="2"/>
  <c r="I246" i="2" s="1"/>
  <c r="H258" i="2"/>
  <c r="I258" i="2" s="1"/>
  <c r="H269" i="2"/>
  <c r="I269" i="2" s="1"/>
  <c r="H277" i="2"/>
  <c r="I277" i="2" s="1"/>
  <c r="H285" i="2"/>
  <c r="I285" i="2" s="1"/>
  <c r="H295" i="2"/>
  <c r="I295" i="2" s="1"/>
  <c r="H303" i="2"/>
  <c r="I303" i="2" s="1"/>
  <c r="H312" i="2"/>
  <c r="I312" i="2" s="1"/>
  <c r="H320" i="2"/>
  <c r="I320" i="2" s="1"/>
  <c r="H329" i="2"/>
  <c r="I329" i="2" s="1"/>
  <c r="H327" i="2"/>
  <c r="I327" i="2" s="1"/>
  <c r="H188" i="2"/>
  <c r="I188" i="2" s="1"/>
  <c r="H228" i="2"/>
  <c r="I228" i="2" s="1"/>
  <c r="H236" i="2"/>
  <c r="I236" i="2" s="1"/>
  <c r="H247" i="2"/>
  <c r="I247" i="2" s="1"/>
  <c r="H261" i="2"/>
  <c r="I261" i="2" s="1"/>
  <c r="H270" i="2"/>
  <c r="I270" i="2" s="1"/>
  <c r="H278" i="2"/>
  <c r="I278" i="2" s="1"/>
  <c r="H286" i="2"/>
  <c r="I286" i="2" s="1"/>
  <c r="H296" i="2"/>
  <c r="I296" i="2" s="1"/>
  <c r="H304" i="2"/>
  <c r="I304" i="2" s="1"/>
  <c r="H313" i="2"/>
  <c r="I313" i="2" s="1"/>
  <c r="H321" i="2"/>
  <c r="I321" i="2" s="1"/>
  <c r="H330" i="2"/>
  <c r="I330" i="2" s="1"/>
  <c r="H189" i="2"/>
  <c r="I189" i="2" s="1"/>
  <c r="H175" i="2"/>
  <c r="I175" i="2" s="1"/>
  <c r="H229" i="2"/>
  <c r="I229" i="2" s="1"/>
  <c r="H237" i="2"/>
  <c r="I237" i="2" s="1"/>
  <c r="H248" i="2"/>
  <c r="I248" i="2" s="1"/>
  <c r="H262" i="2"/>
  <c r="I262" i="2" s="1"/>
  <c r="H271" i="2"/>
  <c r="I271" i="2" s="1"/>
  <c r="H279" i="2"/>
  <c r="I279" i="2" s="1"/>
  <c r="H287" i="2"/>
  <c r="I287" i="2" s="1"/>
  <c r="H297" i="2"/>
  <c r="I297" i="2" s="1"/>
  <c r="H305" i="2"/>
  <c r="I305" i="2" s="1"/>
  <c r="H314" i="2"/>
  <c r="I314" i="2" s="1"/>
  <c r="H322" i="2"/>
  <c r="I322" i="2" s="1"/>
  <c r="H331" i="2"/>
  <c r="I331" i="2" s="1"/>
  <c r="H190" i="2"/>
  <c r="I190" i="2" s="1"/>
  <c r="H230" i="2"/>
  <c r="I230" i="2" s="1"/>
  <c r="H239" i="2"/>
  <c r="I239" i="2" s="1"/>
  <c r="H249" i="2"/>
  <c r="I249" i="2" s="1"/>
  <c r="H263" i="2"/>
  <c r="I263" i="2" s="1"/>
  <c r="H272" i="2"/>
  <c r="I272" i="2" s="1"/>
  <c r="H280" i="2"/>
  <c r="I280" i="2" s="1"/>
  <c r="H288" i="2"/>
  <c r="I288" i="2" s="1"/>
  <c r="H298" i="2"/>
  <c r="I298" i="2" s="1"/>
  <c r="H307" i="2"/>
  <c r="I307" i="2" s="1"/>
  <c r="H315" i="2"/>
  <c r="I315" i="2" s="1"/>
  <c r="H324" i="2"/>
  <c r="I324" i="2" s="1"/>
  <c r="H332" i="2"/>
  <c r="I332" i="2" s="1"/>
  <c r="H256" i="2"/>
  <c r="I256" i="2" s="1"/>
  <c r="H291" i="2"/>
  <c r="I291" i="2" s="1"/>
  <c r="H342" i="2"/>
  <c r="I342" i="2" s="1"/>
  <c r="H231" i="2"/>
  <c r="I231" i="2" s="1"/>
  <c r="H241" i="2"/>
  <c r="I241" i="2" s="1"/>
  <c r="H250" i="2"/>
  <c r="I250" i="2" s="1"/>
  <c r="H265" i="2"/>
  <c r="I265" i="2" s="1"/>
  <c r="H273" i="2"/>
  <c r="I273" i="2" s="1"/>
  <c r="H281" i="2"/>
  <c r="I281" i="2" s="1"/>
  <c r="H289" i="2"/>
  <c r="I289" i="2" s="1"/>
  <c r="H299" i="2"/>
  <c r="I299" i="2" s="1"/>
  <c r="H308" i="2"/>
  <c r="I308" i="2" s="1"/>
  <c r="H316" i="2"/>
  <c r="I316" i="2" s="1"/>
  <c r="H325" i="2"/>
  <c r="I325" i="2" s="1"/>
  <c r="H333" i="2"/>
  <c r="I333" i="2" s="1"/>
  <c r="H182" i="2"/>
  <c r="I182" i="2" s="1"/>
  <c r="H244" i="2"/>
  <c r="I244" i="2" s="1"/>
  <c r="H275" i="2"/>
  <c r="I275" i="2" s="1"/>
  <c r="H301" i="2"/>
  <c r="I301" i="2" s="1"/>
  <c r="H98" i="2"/>
  <c r="H181" i="2"/>
  <c r="I181" i="2" s="1"/>
  <c r="H178" i="2"/>
  <c r="I178" i="2" s="1"/>
  <c r="H232" i="2"/>
  <c r="I232" i="2" s="1"/>
  <c r="H243" i="2"/>
  <c r="I243" i="2" s="1"/>
  <c r="H251" i="2"/>
  <c r="I251" i="2" s="1"/>
  <c r="H266" i="2"/>
  <c r="I266" i="2" s="1"/>
  <c r="H274" i="2"/>
  <c r="I274" i="2" s="1"/>
  <c r="H282" i="2"/>
  <c r="I282" i="2" s="1"/>
  <c r="H290" i="2"/>
  <c r="I290" i="2" s="1"/>
  <c r="H300" i="2"/>
  <c r="I300" i="2" s="1"/>
  <c r="H309" i="2"/>
  <c r="I309" i="2" s="1"/>
  <c r="H317" i="2"/>
  <c r="I317" i="2" s="1"/>
  <c r="H326" i="2"/>
  <c r="I326" i="2" s="1"/>
  <c r="H341" i="2"/>
  <c r="I341" i="2" s="1"/>
  <c r="H191" i="2"/>
  <c r="I191" i="2" s="1"/>
  <c r="H233" i="2"/>
  <c r="I233" i="2" s="1"/>
  <c r="H267" i="2"/>
  <c r="I267" i="2" s="1"/>
  <c r="H283" i="2"/>
  <c r="I283" i="2" s="1"/>
  <c r="H318" i="2"/>
  <c r="I318" i="2" s="1"/>
  <c r="H259" i="2"/>
  <c r="I259" i="2" s="1"/>
  <c r="H253" i="2"/>
  <c r="I253" i="2" s="1"/>
  <c r="H252" i="2"/>
  <c r="I252" i="2" s="1"/>
  <c r="H254" i="2"/>
  <c r="I254" i="2" s="1"/>
  <c r="H255" i="2"/>
  <c r="I255" i="2" s="1"/>
  <c r="H260" i="2"/>
  <c r="I260" i="2" s="1"/>
  <c r="H264" i="2"/>
  <c r="I264" i="2" s="1"/>
  <c r="H292" i="2"/>
  <c r="I292" i="2" s="1"/>
  <c r="H293" i="2"/>
  <c r="I293" i="2" s="1"/>
  <c r="H306" i="2"/>
  <c r="I306" i="2" s="1"/>
  <c r="H323" i="2"/>
  <c r="I323" i="2" s="1"/>
  <c r="H337" i="2"/>
  <c r="I337" i="2" s="1"/>
  <c r="H338" i="2"/>
  <c r="I338" i="2" s="1"/>
  <c r="H339" i="2"/>
  <c r="I339" i="2" s="1"/>
  <c r="H340" i="2"/>
  <c r="I340" i="2" s="1"/>
  <c r="H344" i="2"/>
  <c r="I344" i="2" s="1"/>
  <c r="H99" i="2"/>
  <c r="H129" i="2"/>
  <c r="I129" i="2" s="1"/>
  <c r="H352" i="2"/>
  <c r="I352" i="2" s="1"/>
  <c r="H353" i="2"/>
  <c r="I353" i="2" s="1"/>
  <c r="H356" i="2"/>
  <c r="I356" i="2" s="1"/>
  <c r="H354" i="2"/>
  <c r="I354" i="2" s="1"/>
  <c r="H349" i="2"/>
  <c r="I349" i="2" s="1"/>
  <c r="H365" i="2"/>
  <c r="I365" i="2" s="1"/>
  <c r="H350" i="2"/>
  <c r="I350" i="2" s="1"/>
  <c r="H355" i="2"/>
  <c r="I355" i="2" s="1"/>
  <c r="H364" i="2"/>
  <c r="I364" i="2" s="1"/>
  <c r="H351" i="2"/>
  <c r="I351" i="2" s="1"/>
  <c r="H363" i="2"/>
  <c r="I363" i="2" s="1"/>
  <c r="H359" i="2"/>
  <c r="I359" i="2" s="1"/>
  <c r="H362" i="2"/>
  <c r="I362" i="2" s="1"/>
  <c r="H347" i="2"/>
  <c r="I347" i="2" s="1"/>
  <c r="H360" i="2"/>
  <c r="I360" i="2" s="1"/>
  <c r="H361" i="2"/>
  <c r="I361" i="2" s="1"/>
  <c r="H358" i="2"/>
  <c r="I358" i="2" s="1"/>
  <c r="H367" i="2"/>
  <c r="I367" i="2" s="1"/>
  <c r="H66" i="2"/>
  <c r="I66" i="2" s="1"/>
  <c r="H24" i="2"/>
  <c r="I24" i="2" s="1"/>
  <c r="H47" i="2"/>
  <c r="I47" i="2" s="1"/>
  <c r="H16" i="2"/>
  <c r="I16" i="2" s="1"/>
  <c r="H84" i="2"/>
  <c r="I84" i="2" s="1"/>
  <c r="H65" i="2"/>
  <c r="I65" i="2" s="1"/>
  <c r="H85" i="2"/>
  <c r="I85" i="2" s="1"/>
  <c r="H64" i="2"/>
  <c r="I64" i="2" s="1"/>
  <c r="H83" i="2"/>
  <c r="I83" i="2" s="1"/>
  <c r="H82" i="2"/>
  <c r="I82" i="2" s="1"/>
  <c r="H72" i="2"/>
  <c r="I72" i="2" s="1"/>
  <c r="H79" i="2"/>
  <c r="I79" i="2" s="1"/>
  <c r="H78" i="2"/>
  <c r="I78" i="2" s="1"/>
  <c r="H77" i="2"/>
  <c r="I77" i="2" s="1"/>
  <c r="H57" i="2"/>
  <c r="I57" i="2" s="1"/>
  <c r="H59" i="2"/>
  <c r="I59" i="2" s="1"/>
  <c r="H60" i="2"/>
  <c r="I60" i="2" s="1"/>
  <c r="H61" i="2"/>
  <c r="I61" i="2" s="1"/>
  <c r="H62" i="2"/>
  <c r="I62" i="2" s="1"/>
  <c r="H58" i="2"/>
  <c r="I58" i="2" s="1"/>
  <c r="H54" i="2"/>
  <c r="I54" i="2" s="1"/>
  <c r="H55" i="2"/>
  <c r="I55" i="2" s="1"/>
  <c r="H49" i="2"/>
  <c r="I49" i="2" s="1"/>
  <c r="H50" i="2"/>
  <c r="I50" i="2" s="1"/>
  <c r="H52" i="2"/>
  <c r="I52" i="2" s="1"/>
  <c r="H53" i="2"/>
  <c r="I53" i="2" s="1"/>
  <c r="H383" i="2"/>
  <c r="I383" i="2" s="1"/>
  <c r="H382" i="2"/>
  <c r="I382" i="2" s="1"/>
  <c r="H384" i="2"/>
  <c r="I384" i="2" s="1"/>
  <c r="H385" i="2"/>
  <c r="I385" i="2" s="1"/>
  <c r="H386" i="2"/>
  <c r="I386" i="2" s="1"/>
  <c r="H379" i="2"/>
  <c r="I379" i="2" s="1"/>
  <c r="H387" i="2"/>
  <c r="I387" i="2" s="1"/>
  <c r="H380" i="2"/>
  <c r="I380" i="2" s="1"/>
  <c r="H381" i="2"/>
  <c r="I381" i="2" s="1"/>
  <c r="H375" i="2"/>
  <c r="I375" i="2" s="1"/>
  <c r="H371" i="2"/>
  <c r="I371" i="2" s="1"/>
  <c r="H368" i="2"/>
  <c r="I368" i="2" s="1"/>
  <c r="H372" i="2"/>
  <c r="I372" i="2" s="1"/>
  <c r="H373" i="2"/>
  <c r="I373" i="2" s="1"/>
  <c r="H374" i="2"/>
  <c r="I374" i="2" s="1"/>
  <c r="H369" i="2"/>
  <c r="I369" i="2" s="1"/>
  <c r="H23" i="2"/>
  <c r="I23" i="2" s="1"/>
  <c r="H113" i="2"/>
  <c r="H440" i="2"/>
  <c r="I440" i="2" s="1"/>
  <c r="H417" i="2"/>
  <c r="I417" i="2" s="1"/>
  <c r="H17" i="2"/>
  <c r="I17" i="2" s="1"/>
  <c r="H139" i="2"/>
  <c r="I139" i="2" s="1"/>
  <c r="H388" i="2"/>
  <c r="I388" i="2" s="1"/>
  <c r="H136" i="2"/>
  <c r="I136" i="2" s="1"/>
  <c r="H398" i="2"/>
  <c r="I398" i="2" s="1"/>
  <c r="H130" i="2"/>
  <c r="I130" i="2" s="1"/>
  <c r="H126" i="2"/>
  <c r="I126" i="2" s="1"/>
  <c r="H435" i="2"/>
  <c r="I435" i="2" s="1"/>
  <c r="H42" i="2"/>
  <c r="I42" i="2" s="1"/>
  <c r="H18" i="2"/>
  <c r="I18" i="2" s="1"/>
  <c r="H138" i="2"/>
  <c r="I138" i="2" s="1"/>
  <c r="H389" i="2"/>
  <c r="I389" i="2" s="1"/>
  <c r="H394" i="2"/>
  <c r="I394" i="2" s="1"/>
  <c r="H142" i="2"/>
  <c r="I142" i="2" s="1"/>
  <c r="H395" i="2"/>
  <c r="I395" i="2" s="1"/>
  <c r="H134" i="2"/>
  <c r="I134" i="2" s="1"/>
  <c r="H397" i="2"/>
  <c r="I397" i="2" s="1"/>
  <c r="H406" i="2"/>
  <c r="I406" i="2" s="1"/>
  <c r="H419" i="2"/>
  <c r="I419" i="2" s="1"/>
  <c r="H438" i="2"/>
  <c r="I438" i="2" s="1"/>
  <c r="H43" i="2"/>
  <c r="I43" i="2" s="1"/>
  <c r="H116" i="2"/>
  <c r="I116" i="2" s="1"/>
  <c r="H143" i="2"/>
  <c r="I143" i="2" s="1"/>
  <c r="H124" i="2"/>
  <c r="I124" i="2" s="1"/>
  <c r="H391" i="2"/>
  <c r="I391" i="2" s="1"/>
  <c r="H137" i="2"/>
  <c r="I137" i="2" s="1"/>
  <c r="H133" i="2"/>
  <c r="I133" i="2" s="1"/>
  <c r="H91" i="2"/>
  <c r="I91" i="2" s="1"/>
  <c r="H420" i="2"/>
  <c r="I420" i="2" s="1"/>
  <c r="H433" i="2"/>
  <c r="I433" i="2" s="1"/>
  <c r="H101" i="2"/>
  <c r="I101" i="2" s="1"/>
  <c r="H25" i="2"/>
  <c r="I25" i="2" s="1"/>
  <c r="H120" i="2"/>
  <c r="I120" i="2" s="1"/>
  <c r="H141" i="2"/>
  <c r="I141" i="2" s="1"/>
  <c r="H396" i="2"/>
  <c r="I396" i="2" s="1"/>
  <c r="H122" i="2"/>
  <c r="I122" i="2" s="1"/>
  <c r="H378" i="2"/>
  <c r="I378" i="2" s="1"/>
  <c r="H450" i="2"/>
  <c r="I450" i="2" s="1"/>
  <c r="H405" i="2"/>
  <c r="I405" i="2" s="1"/>
  <c r="H445" i="2"/>
  <c r="I445" i="2" s="1"/>
  <c r="H425" i="2"/>
  <c r="I425" i="2" s="1"/>
  <c r="H102" i="2"/>
  <c r="I102" i="2" s="1"/>
  <c r="H13" i="2"/>
  <c r="I13" i="2" s="1"/>
  <c r="H125" i="2"/>
  <c r="I125" i="2" s="1"/>
  <c r="H390" i="2"/>
  <c r="I390" i="2" s="1"/>
  <c r="H95" i="2"/>
  <c r="I95" i="2" s="1"/>
  <c r="H393" i="2"/>
  <c r="I393" i="2" s="1"/>
  <c r="H94" i="2"/>
  <c r="I94" i="2" s="1"/>
  <c r="H404" i="2"/>
  <c r="I404" i="2" s="1"/>
  <c r="H418" i="2"/>
  <c r="I418" i="2" s="1"/>
  <c r="H437" i="2"/>
  <c r="I437" i="2" s="1"/>
  <c r="H103" i="2"/>
  <c r="I103" i="2" s="1"/>
  <c r="H22" i="2"/>
  <c r="H144" i="2"/>
  <c r="I144" i="2" s="1"/>
  <c r="H399" i="2"/>
  <c r="I399" i="2" s="1"/>
  <c r="H117" i="2"/>
  <c r="I117" i="2" s="1"/>
  <c r="H132" i="2"/>
  <c r="I132" i="2" s="1"/>
  <c r="H70" i="2"/>
  <c r="H121" i="2"/>
  <c r="I121" i="2" s="1"/>
  <c r="H411" i="2"/>
  <c r="I411" i="2" s="1"/>
  <c r="H402" i="2"/>
  <c r="I402" i="2" s="1"/>
  <c r="H439" i="2"/>
  <c r="I439" i="2" s="1"/>
  <c r="H416" i="2"/>
  <c r="I416" i="2" s="1"/>
  <c r="H100" i="2"/>
  <c r="H14" i="2"/>
  <c r="I14" i="2" s="1"/>
  <c r="H123" i="2"/>
  <c r="I123" i="2" s="1"/>
  <c r="H392" i="2"/>
  <c r="I392" i="2" s="1"/>
  <c r="H135" i="2"/>
  <c r="I135" i="2" s="1"/>
  <c r="H131" i="2"/>
  <c r="I131" i="2" s="1"/>
  <c r="H403" i="2"/>
  <c r="I403" i="2" s="1"/>
  <c r="H434" i="2"/>
  <c r="I434" i="2" s="1"/>
  <c r="H424" i="2"/>
  <c r="I424" i="2" s="1"/>
  <c r="H415" i="2"/>
  <c r="I415" i="2" s="1"/>
  <c r="H15" i="2"/>
  <c r="I15" i="2" s="1"/>
  <c r="H412" i="2"/>
  <c r="I412" i="2" s="1"/>
  <c r="H127" i="2"/>
  <c r="I127" i="2" s="1"/>
  <c r="H410" i="2"/>
  <c r="I410" i="2" s="1"/>
  <c r="H140" i="2"/>
  <c r="I140" i="2" s="1"/>
  <c r="H409" i="2"/>
  <c r="I409" i="2" s="1"/>
  <c r="H128" i="2"/>
  <c r="I128" i="2" s="1"/>
  <c r="B16" i="7"/>
  <c r="C20" i="7"/>
  <c r="B18" i="7"/>
  <c r="B26" i="7"/>
  <c r="C14" i="7"/>
  <c r="C30" i="7"/>
  <c r="C12" i="7"/>
  <c r="B20" i="7"/>
  <c r="B28" i="7"/>
  <c r="B42" i="7"/>
  <c r="C16" i="7"/>
  <c r="C24" i="7"/>
  <c r="B24" i="7"/>
  <c r="C28" i="7"/>
  <c r="B12" i="7"/>
  <c r="C22" i="7"/>
  <c r="B14" i="7"/>
  <c r="B22" i="7"/>
  <c r="B30" i="7"/>
  <c r="C18" i="7"/>
  <c r="C26" i="7"/>
  <c r="H164" i="9"/>
  <c r="H165" i="9"/>
  <c r="H170" i="9" s="1"/>
  <c r="H166" i="9"/>
  <c r="H167" i="9"/>
  <c r="H168" i="9"/>
  <c r="H169" i="9"/>
  <c r="H154" i="9"/>
  <c r="H155" i="9"/>
  <c r="H156" i="9"/>
  <c r="H157" i="9"/>
  <c r="H158" i="9"/>
  <c r="H159" i="9"/>
  <c r="H144" i="9"/>
  <c r="H145" i="9"/>
  <c r="H146" i="9"/>
  <c r="H147" i="9"/>
  <c r="H148" i="9"/>
  <c r="H149" i="9"/>
  <c r="H134" i="9"/>
  <c r="H135" i="9"/>
  <c r="H136" i="9"/>
  <c r="H137" i="9"/>
  <c r="H138" i="9"/>
  <c r="H139" i="9"/>
  <c r="P121" i="9"/>
  <c r="P127" i="9" s="1"/>
  <c r="O121" i="9"/>
  <c r="O126" i="9" s="1"/>
  <c r="H126" i="9"/>
  <c r="H127" i="9"/>
  <c r="H128" i="9"/>
  <c r="H129" i="9"/>
  <c r="H118" i="9"/>
  <c r="F119" i="9"/>
  <c r="H119" i="9"/>
  <c r="F120" i="9"/>
  <c r="H120" i="9" s="1"/>
  <c r="F121" i="9"/>
  <c r="H121" i="9" s="1"/>
  <c r="P106" i="9"/>
  <c r="P108" i="9" s="1"/>
  <c r="O106" i="9"/>
  <c r="O109" i="9" s="1"/>
  <c r="H112" i="9"/>
  <c r="H113" i="9"/>
  <c r="H111" i="9"/>
  <c r="H101" i="9"/>
  <c r="H102" i="9"/>
  <c r="H103" i="9"/>
  <c r="H104" i="9"/>
  <c r="H105" i="9"/>
  <c r="H106" i="9"/>
  <c r="H90" i="9"/>
  <c r="H92" i="9"/>
  <c r="H93" i="9"/>
  <c r="C96" i="9"/>
  <c r="H79" i="9"/>
  <c r="H82" i="9"/>
  <c r="C85" i="9"/>
  <c r="H69" i="9"/>
  <c r="H70" i="9"/>
  <c r="H71" i="9"/>
  <c r="H72" i="9"/>
  <c r="H73" i="9"/>
  <c r="H74" i="9"/>
  <c r="H59" i="9"/>
  <c r="H60" i="9"/>
  <c r="H61" i="9"/>
  <c r="H62" i="9"/>
  <c r="H63" i="9"/>
  <c r="H64" i="9"/>
  <c r="H51" i="9"/>
  <c r="H52" i="9"/>
  <c r="H53" i="9"/>
  <c r="H54" i="9"/>
  <c r="H43" i="9"/>
  <c r="H44" i="9"/>
  <c r="H47" i="9" s="1"/>
  <c r="H45" i="9"/>
  <c r="H46" i="9"/>
  <c r="H35" i="9"/>
  <c r="H36" i="9"/>
  <c r="H39" i="9" s="1"/>
  <c r="H37" i="9"/>
  <c r="H38" i="9"/>
  <c r="H27" i="9"/>
  <c r="H28" i="9"/>
  <c r="H29" i="9"/>
  <c r="H30" i="9"/>
  <c r="H19" i="9"/>
  <c r="H20" i="9"/>
  <c r="H23" i="9" s="1"/>
  <c r="H21" i="9"/>
  <c r="H22" i="9"/>
  <c r="H11" i="9"/>
  <c r="H12" i="9"/>
  <c r="H13" i="9"/>
  <c r="H14" i="9"/>
  <c r="H426" i="2"/>
  <c r="I426" i="2" s="1"/>
  <c r="H427" i="2"/>
  <c r="I427" i="2" s="1"/>
  <c r="H428" i="2"/>
  <c r="I428" i="2" s="1"/>
  <c r="H429" i="2"/>
  <c r="I429" i="2" s="1"/>
  <c r="H430" i="2"/>
  <c r="I430" i="2" s="1"/>
  <c r="H432" i="2"/>
  <c r="I432" i="2" s="1"/>
  <c r="C167" i="2"/>
  <c r="C167" i="1" s="1"/>
  <c r="H168" i="2"/>
  <c r="I168" i="2" s="1"/>
  <c r="C166" i="2"/>
  <c r="C166" i="1" s="1"/>
  <c r="C165" i="2"/>
  <c r="C165" i="1" s="1"/>
  <c r="C164" i="2"/>
  <c r="C164" i="1" s="1"/>
  <c r="C163" i="2"/>
  <c r="C163" i="1" s="1"/>
  <c r="C162" i="2"/>
  <c r="C162" i="1" s="1"/>
  <c r="C161" i="2"/>
  <c r="C161" i="1" s="1"/>
  <c r="H158" i="2"/>
  <c r="I158" i="2" s="1"/>
  <c r="H159" i="2"/>
  <c r="I159" i="2" s="1"/>
  <c r="H160" i="2"/>
  <c r="I160" i="2" s="1"/>
  <c r="H156" i="2"/>
  <c r="C157" i="2"/>
  <c r="C157" i="1" s="1"/>
  <c r="F156" i="2"/>
  <c r="H110" i="2"/>
  <c r="I110" i="2" s="1"/>
  <c r="K27" i="7" s="1"/>
  <c r="H51" i="4"/>
  <c r="H52" i="4"/>
  <c r="H53" i="4"/>
  <c r="H54" i="4"/>
  <c r="H55" i="4"/>
  <c r="H108" i="2"/>
  <c r="I108" i="2" s="1"/>
  <c r="H107" i="2"/>
  <c r="I107" i="2" s="1"/>
  <c r="I106" i="2"/>
  <c r="J27" i="7" s="1"/>
  <c r="C154" i="2"/>
  <c r="C154" i="1" s="1"/>
  <c r="C155" i="2"/>
  <c r="C155" i="1" s="1"/>
  <c r="H153" i="2"/>
  <c r="I153" i="2" s="1"/>
  <c r="H150" i="2"/>
  <c r="I150" i="2" s="1"/>
  <c r="H148" i="2"/>
  <c r="I148" i="2" s="1"/>
  <c r="H149" i="2"/>
  <c r="I149" i="2" s="1"/>
  <c r="C152" i="2"/>
  <c r="C152" i="1" s="1"/>
  <c r="C151" i="2"/>
  <c r="C151" i="1" s="1"/>
  <c r="H147" i="2"/>
  <c r="I147" i="2" s="1"/>
  <c r="H115" i="2"/>
  <c r="I115" i="2" s="1"/>
  <c r="L29" i="7" s="1"/>
  <c r="H114" i="2"/>
  <c r="I114" i="2" s="1"/>
  <c r="C109" i="2"/>
  <c r="C109" i="1" s="1"/>
  <c r="F32" i="2"/>
  <c r="H28" i="2"/>
  <c r="F28" i="2"/>
  <c r="H29" i="2"/>
  <c r="F29" i="2"/>
  <c r="H30" i="2"/>
  <c r="F30" i="2"/>
  <c r="H31" i="2"/>
  <c r="F31" i="2"/>
  <c r="H33" i="2"/>
  <c r="F33" i="2"/>
  <c r="H34" i="2"/>
  <c r="F34" i="2"/>
  <c r="H35" i="2"/>
  <c r="F35" i="2"/>
  <c r="H36" i="2"/>
  <c r="F36" i="2"/>
  <c r="H37" i="2"/>
  <c r="F37" i="2"/>
  <c r="H38" i="2"/>
  <c r="F38" i="2"/>
  <c r="H39" i="2"/>
  <c r="F39" i="2"/>
  <c r="H40" i="2"/>
  <c r="F40" i="2"/>
  <c r="H41" i="2"/>
  <c r="F41" i="2"/>
  <c r="H11" i="4"/>
  <c r="H12" i="4"/>
  <c r="H13" i="4"/>
  <c r="H14" i="4"/>
  <c r="H15" i="4"/>
  <c r="H16" i="4"/>
  <c r="H17" i="4"/>
  <c r="F12" i="2"/>
  <c r="H31" i="4"/>
  <c r="H32" i="4"/>
  <c r="I448" i="1"/>
  <c r="F448" i="2" s="1"/>
  <c r="F449" i="2"/>
  <c r="H88" i="2"/>
  <c r="I88" i="2" s="1"/>
  <c r="I23" i="7" s="1"/>
  <c r="H89" i="2"/>
  <c r="H93" i="2"/>
  <c r="I93" i="2" s="1"/>
  <c r="K23" i="7" s="1"/>
  <c r="F22" i="2"/>
  <c r="D449" i="2"/>
  <c r="D449" i="1" s="1"/>
  <c r="D448" i="2"/>
  <c r="D448" i="1" s="1"/>
  <c r="C449" i="2"/>
  <c r="C449" i="1" s="1"/>
  <c r="C448" i="2"/>
  <c r="C448" i="1" s="1"/>
  <c r="C12" i="2"/>
  <c r="C12" i="1" s="1"/>
  <c r="H37" i="4"/>
  <c r="H38" i="4"/>
  <c r="H39" i="4"/>
  <c r="H443" i="2"/>
  <c r="I443" i="2" s="1"/>
  <c r="H444" i="2"/>
  <c r="I444" i="2" s="1"/>
  <c r="H442" i="2"/>
  <c r="I442" i="2" s="1"/>
  <c r="H90" i="2"/>
  <c r="I90" i="2" s="1"/>
  <c r="H92" i="2"/>
  <c r="I92" i="2" s="1"/>
  <c r="H81" i="2"/>
  <c r="I81" i="2" s="1"/>
  <c r="I21" i="7" s="1"/>
  <c r="H73" i="2"/>
  <c r="I73" i="2" s="1"/>
  <c r="H74" i="2"/>
  <c r="I74" i="2" s="1"/>
  <c r="H75" i="2"/>
  <c r="I75" i="2" s="1"/>
  <c r="H76" i="2"/>
  <c r="I76" i="2" s="1"/>
  <c r="F5" i="2"/>
  <c r="E31" i="6"/>
  <c r="G17" i="6"/>
  <c r="B26" i="6"/>
  <c r="D43" i="5"/>
  <c r="I31" i="7" l="1"/>
  <c r="I70" i="2"/>
  <c r="K21" i="7" s="1"/>
  <c r="H33" i="4"/>
  <c r="G448" i="2" s="1"/>
  <c r="H448" i="2" s="1"/>
  <c r="I448" i="2" s="1"/>
  <c r="M25" i="7"/>
  <c r="K25" i="7"/>
  <c r="L25" i="7"/>
  <c r="M31" i="7"/>
  <c r="L23" i="7"/>
  <c r="J31" i="7"/>
  <c r="M35" i="7"/>
  <c r="M29" i="7"/>
  <c r="K29" i="7"/>
  <c r="J21" i="7"/>
  <c r="I376" i="2"/>
  <c r="H107" i="9"/>
  <c r="G166" i="2" s="1"/>
  <c r="H166" i="2" s="1"/>
  <c r="I166" i="2" s="1"/>
  <c r="H31" i="9"/>
  <c r="G154" i="2" s="1"/>
  <c r="H154" i="2" s="1"/>
  <c r="I154" i="2" s="1"/>
  <c r="H55" i="9"/>
  <c r="H122" i="9"/>
  <c r="H150" i="9"/>
  <c r="G180" i="2" s="1"/>
  <c r="H180" i="2" s="1"/>
  <c r="I180" i="2" s="1"/>
  <c r="H65" i="9"/>
  <c r="H130" i="9"/>
  <c r="G177" i="2" s="1"/>
  <c r="H177" i="2" s="1"/>
  <c r="I177" i="2" s="1"/>
  <c r="H140" i="9"/>
  <c r="G179" i="2" s="1"/>
  <c r="H179" i="2" s="1"/>
  <c r="I179" i="2" s="1"/>
  <c r="G187" i="2"/>
  <c r="H114" i="9"/>
  <c r="G167" i="2" s="1"/>
  <c r="H167" i="2" s="1"/>
  <c r="I167" i="2" s="1"/>
  <c r="I86" i="2"/>
  <c r="I413" i="2"/>
  <c r="I421" i="2"/>
  <c r="I400" i="2"/>
  <c r="D19" i="3"/>
  <c r="D28" i="7" s="1"/>
  <c r="I345" i="2"/>
  <c r="I458" i="2"/>
  <c r="D20" i="3"/>
  <c r="D30" i="7" s="1"/>
  <c r="I446" i="2"/>
  <c r="H56" i="4"/>
  <c r="G109" i="2" s="1"/>
  <c r="H109" i="2" s="1"/>
  <c r="H40" i="4"/>
  <c r="G449" i="2" s="1"/>
  <c r="H449" i="2" s="1"/>
  <c r="I449" i="2" s="1"/>
  <c r="G185" i="2"/>
  <c r="H185" i="2" s="1"/>
  <c r="I185" i="2" s="1"/>
  <c r="G151" i="2"/>
  <c r="H151" i="2" s="1"/>
  <c r="I151" i="2" s="1"/>
  <c r="G176" i="2"/>
  <c r="H176" i="2" s="1"/>
  <c r="I176" i="2" s="1"/>
  <c r="H94" i="9"/>
  <c r="G96" i="9" s="1"/>
  <c r="H96" i="9" s="1"/>
  <c r="H97" i="9" s="1"/>
  <c r="G165" i="2" s="1"/>
  <c r="H165" i="2" s="1"/>
  <c r="I165" i="2" s="1"/>
  <c r="G157" i="2"/>
  <c r="H157" i="2" s="1"/>
  <c r="I157" i="2" s="1"/>
  <c r="H83" i="9"/>
  <c r="G85" i="9" s="1"/>
  <c r="G20" i="6"/>
  <c r="P122" i="9"/>
  <c r="P124" i="9"/>
  <c r="P109" i="9"/>
  <c r="P125" i="9"/>
  <c r="P126" i="9"/>
  <c r="O122" i="9"/>
  <c r="O127" i="9"/>
  <c r="O124" i="9"/>
  <c r="P110" i="9"/>
  <c r="O125" i="9"/>
  <c r="O110" i="9"/>
  <c r="O108" i="9"/>
  <c r="H32" i="2"/>
  <c r="I32" i="2" s="1"/>
  <c r="I22" i="2"/>
  <c r="I156" i="2"/>
  <c r="I89" i="2"/>
  <c r="I40" i="2"/>
  <c r="I38" i="2"/>
  <c r="I36" i="2"/>
  <c r="I34" i="2"/>
  <c r="I31" i="2"/>
  <c r="I29" i="2"/>
  <c r="I41" i="2"/>
  <c r="I39" i="2"/>
  <c r="I37" i="2"/>
  <c r="I35" i="2"/>
  <c r="I33" i="2"/>
  <c r="I30" i="2"/>
  <c r="I28" i="2"/>
  <c r="N31" i="7" l="1"/>
  <c r="G41" i="7"/>
  <c r="J41" i="7"/>
  <c r="I41" i="7"/>
  <c r="D29" i="3"/>
  <c r="D48" i="7" s="1"/>
  <c r="L49" i="7"/>
  <c r="D26" i="3"/>
  <c r="D42" i="7" s="1"/>
  <c r="L43" i="7"/>
  <c r="K43" i="7"/>
  <c r="M42" i="7"/>
  <c r="J39" i="7"/>
  <c r="J38" i="7" s="1"/>
  <c r="G39" i="7"/>
  <c r="I96" i="2"/>
  <c r="D16" i="3" s="1"/>
  <c r="D22" i="7" s="1"/>
  <c r="J23" i="7"/>
  <c r="D28" i="3"/>
  <c r="D46" i="7" s="1"/>
  <c r="J46" i="7" s="1"/>
  <c r="N46" i="7" s="1"/>
  <c r="J47" i="7"/>
  <c r="D27" i="3"/>
  <c r="D44" i="7" s="1"/>
  <c r="M45" i="7"/>
  <c r="L45" i="7"/>
  <c r="L15" i="7"/>
  <c r="K15" i="7"/>
  <c r="M15" i="7"/>
  <c r="G15" i="7"/>
  <c r="H15" i="7"/>
  <c r="I15" i="7"/>
  <c r="J15" i="7"/>
  <c r="G53" i="7"/>
  <c r="H53" i="7"/>
  <c r="D23" i="3"/>
  <c r="D36" i="7" s="1"/>
  <c r="M37" i="7"/>
  <c r="L37" i="7"/>
  <c r="K37" i="7"/>
  <c r="G37" i="7"/>
  <c r="D24" i="3"/>
  <c r="D38" i="7" s="1"/>
  <c r="J30" i="7"/>
  <c r="M30" i="7"/>
  <c r="I30" i="7"/>
  <c r="L28" i="7"/>
  <c r="K28" i="7"/>
  <c r="M28" i="7"/>
  <c r="M48" i="7"/>
  <c r="K42" i="7"/>
  <c r="H187" i="2"/>
  <c r="I187" i="2" s="1"/>
  <c r="H35" i="7" s="1"/>
  <c r="G155" i="2"/>
  <c r="H155" i="2" s="1"/>
  <c r="I155" i="2" s="1"/>
  <c r="G152" i="2"/>
  <c r="H152" i="2" s="1"/>
  <c r="I152" i="2" s="1"/>
  <c r="G163" i="2"/>
  <c r="H163" i="2" s="1"/>
  <c r="I163" i="2" s="1"/>
  <c r="G161" i="2"/>
  <c r="H161" i="2" s="1"/>
  <c r="I161" i="2" s="1"/>
  <c r="G162" i="2"/>
  <c r="H162" i="2" s="1"/>
  <c r="I162" i="2" s="1"/>
  <c r="H85" i="9"/>
  <c r="H86" i="9" s="1"/>
  <c r="I109" i="2"/>
  <c r="D25" i="3"/>
  <c r="D40" i="7" s="1"/>
  <c r="H12" i="2"/>
  <c r="I12" i="2" s="1"/>
  <c r="D12" i="3"/>
  <c r="D14" i="7" s="1"/>
  <c r="H51" i="2"/>
  <c r="I51" i="2" s="1"/>
  <c r="H19" i="7" s="1"/>
  <c r="I169" i="2" l="1"/>
  <c r="L48" i="7"/>
  <c r="M44" i="7"/>
  <c r="L44" i="7"/>
  <c r="L42" i="7"/>
  <c r="N42" i="7" s="1"/>
  <c r="G36" i="7"/>
  <c r="K39" i="7"/>
  <c r="N30" i="7"/>
  <c r="I20" i="2"/>
  <c r="G13" i="7" s="1"/>
  <c r="N44" i="7"/>
  <c r="L36" i="7"/>
  <c r="M36" i="7"/>
  <c r="K36" i="7"/>
  <c r="N48" i="7"/>
  <c r="N53" i="7"/>
  <c r="D30" i="3"/>
  <c r="D50" i="7" s="1"/>
  <c r="M51" i="7"/>
  <c r="N51" i="7" s="1"/>
  <c r="G38" i="7"/>
  <c r="J7" i="7"/>
  <c r="D18" i="3"/>
  <c r="D26" i="7" s="1"/>
  <c r="L27" i="7"/>
  <c r="D13" i="3"/>
  <c r="D16" i="7" s="1"/>
  <c r="G17" i="7"/>
  <c r="H7" i="7"/>
  <c r="G35" i="7"/>
  <c r="J40" i="7"/>
  <c r="G40" i="7"/>
  <c r="I40" i="7"/>
  <c r="N28" i="7"/>
  <c r="I22" i="7"/>
  <c r="L22" i="7"/>
  <c r="K22" i="7"/>
  <c r="J22" i="7"/>
  <c r="M14" i="7"/>
  <c r="H14" i="7"/>
  <c r="L14" i="7"/>
  <c r="J14" i="7"/>
  <c r="I14" i="7"/>
  <c r="G14" i="7"/>
  <c r="K14" i="7"/>
  <c r="K38" i="7"/>
  <c r="I225" i="2"/>
  <c r="D22" i="3" s="1"/>
  <c r="D34" i="7" s="1"/>
  <c r="N43" i="7"/>
  <c r="N49" i="7"/>
  <c r="N39" i="7"/>
  <c r="N47" i="7"/>
  <c r="N45" i="7"/>
  <c r="G164" i="2"/>
  <c r="H164" i="2" s="1"/>
  <c r="I164" i="2" s="1"/>
  <c r="D14" i="3"/>
  <c r="D18" i="7" s="1"/>
  <c r="D11" i="3"/>
  <c r="D15" i="3"/>
  <c r="D20" i="7" s="1"/>
  <c r="N36" i="7" l="1"/>
  <c r="G7" i="7"/>
  <c r="G9" i="7" s="1"/>
  <c r="H9" i="7" s="1"/>
  <c r="M50" i="7"/>
  <c r="N50" i="7" s="1"/>
  <c r="N38" i="7"/>
  <c r="L33" i="7"/>
  <c r="L7" i="7" s="1"/>
  <c r="K33" i="7"/>
  <c r="K7" i="7" s="1"/>
  <c r="I33" i="7"/>
  <c r="I7" i="7" s="1"/>
  <c r="N14" i="7"/>
  <c r="N17" i="7"/>
  <c r="G16" i="7"/>
  <c r="N16" i="7" s="1"/>
  <c r="K26" i="7"/>
  <c r="L26" i="7"/>
  <c r="J26" i="7"/>
  <c r="M34" i="7"/>
  <c r="L34" i="7"/>
  <c r="H34" i="7"/>
  <c r="I34" i="7"/>
  <c r="G34" i="7"/>
  <c r="H18" i="7"/>
  <c r="N18" i="7" s="1"/>
  <c r="N40" i="7"/>
  <c r="I20" i="7"/>
  <c r="J20" i="7"/>
  <c r="K20" i="7"/>
  <c r="N22" i="7"/>
  <c r="N15" i="7"/>
  <c r="I459" i="2"/>
  <c r="N41" i="7"/>
  <c r="N29" i="7"/>
  <c r="D12" i="7"/>
  <c r="N26" i="7" l="1"/>
  <c r="I9" i="7"/>
  <c r="J9" i="7" s="1"/>
  <c r="K9" i="7" s="1"/>
  <c r="L9" i="7" s="1"/>
  <c r="N34" i="7"/>
  <c r="G12" i="7"/>
  <c r="N20" i="7"/>
  <c r="N19" i="7"/>
  <c r="N37" i="7"/>
  <c r="N23" i="7"/>
  <c r="D21" i="3"/>
  <c r="D32" i="7" s="1"/>
  <c r="M33" i="7" l="1"/>
  <c r="L32" i="7"/>
  <c r="K32" i="7"/>
  <c r="I32" i="7"/>
  <c r="N21" i="7"/>
  <c r="N27" i="7"/>
  <c r="D17" i="3"/>
  <c r="D24" i="7" s="1"/>
  <c r="L24" i="7" l="1"/>
  <c r="M24" i="7"/>
  <c r="K24" i="7"/>
  <c r="M32" i="7"/>
  <c r="N32" i="7" s="1"/>
  <c r="M7" i="7"/>
  <c r="N33" i="7"/>
  <c r="N24" i="7" l="1"/>
  <c r="M9" i="7"/>
  <c r="N25" i="7"/>
  <c r="C100" i="4"/>
  <c r="B4" i="15"/>
  <c r="B4" i="9"/>
  <c r="B4" i="4"/>
  <c r="C6" i="9"/>
  <c r="C6" i="15"/>
  <c r="C6" i="4"/>
  <c r="C5" i="9"/>
  <c r="C5" i="15"/>
  <c r="C5" i="4"/>
  <c r="C4" i="4"/>
  <c r="C4" i="15"/>
  <c r="C4" i="9"/>
  <c r="B5" i="9"/>
  <c r="B5" i="15"/>
  <c r="B5" i="4"/>
  <c r="B6" i="15"/>
  <c r="B6" i="4"/>
  <c r="B6" i="9"/>
  <c r="B7" i="9"/>
  <c r="B7" i="15"/>
  <c r="B7" i="4"/>
  <c r="N35" i="7" l="1"/>
  <c r="C7" i="2"/>
  <c r="D31" i="3"/>
  <c r="D32" i="3" l="1"/>
  <c r="E30" i="3" s="1"/>
  <c r="D52" i="7"/>
  <c r="C7" i="15"/>
  <c r="C7" i="9"/>
  <c r="C7" i="12"/>
  <c r="C7" i="4"/>
  <c r="I52" i="7" l="1"/>
  <c r="H52" i="7"/>
  <c r="G52" i="7"/>
  <c r="N52" i="7" s="1"/>
  <c r="D54" i="7"/>
  <c r="E20" i="3"/>
  <c r="E27" i="3"/>
  <c r="E22" i="3"/>
  <c r="E18" i="3"/>
  <c r="E12" i="3"/>
  <c r="E26" i="3"/>
  <c r="E11" i="3"/>
  <c r="E28" i="3"/>
  <c r="E17" i="3"/>
  <c r="E25" i="3"/>
  <c r="C8" i="3"/>
  <c r="E13" i="3"/>
  <c r="E19" i="3"/>
  <c r="E15" i="3"/>
  <c r="E29" i="3"/>
  <c r="E14" i="3"/>
  <c r="E21" i="3"/>
  <c r="E24" i="3"/>
  <c r="E23" i="3"/>
  <c r="E16" i="3"/>
  <c r="E31" i="3"/>
  <c r="F36" i="7" l="1"/>
  <c r="J6" i="7"/>
  <c r="G8" i="7"/>
  <c r="H6" i="7"/>
  <c r="L6" i="7"/>
  <c r="I6" i="7"/>
  <c r="G6" i="7"/>
  <c r="H8" i="7"/>
  <c r="I8" i="7"/>
  <c r="J8" i="7"/>
  <c r="F38" i="7"/>
  <c r="F44" i="7"/>
  <c r="F30" i="7"/>
  <c r="F42" i="7"/>
  <c r="F46" i="7"/>
  <c r="F28" i="7"/>
  <c r="F48" i="7"/>
  <c r="F40" i="7"/>
  <c r="F22" i="7"/>
  <c r="F50" i="7"/>
  <c r="F14" i="7"/>
  <c r="F18" i="7"/>
  <c r="F34" i="7"/>
  <c r="F16" i="7"/>
  <c r="K6" i="7"/>
  <c r="F26" i="7"/>
  <c r="F20" i="7"/>
  <c r="F12" i="7"/>
  <c r="K8" i="7"/>
  <c r="L8" i="7"/>
  <c r="F32" i="7"/>
  <c r="F24" i="7"/>
  <c r="M6" i="7"/>
  <c r="M8" i="7"/>
  <c r="F52" i="7"/>
  <c r="C9" i="7"/>
  <c r="C7" i="1" s="1"/>
  <c r="C7" i="13"/>
  <c r="E32" i="3"/>
  <c r="N6" i="7" l="1"/>
  <c r="F54" i="7"/>
</calcChain>
</file>

<file path=xl/sharedStrings.xml><?xml version="1.0" encoding="utf-8"?>
<sst xmlns="http://schemas.openxmlformats.org/spreadsheetml/2006/main" count="6120" uniqueCount="1778">
  <si>
    <t>PREFEITURA MUNICIPAL DE ARIPUANÃ</t>
  </si>
  <si>
    <t>BDI:</t>
  </si>
  <si>
    <t>DATA:</t>
  </si>
  <si>
    <t>ITEM</t>
  </si>
  <si>
    <t>SERVIÇO</t>
  </si>
  <si>
    <t>TOTAL</t>
  </si>
  <si>
    <t>UNIDADE</t>
  </si>
  <si>
    <t>SERVIÇOS PRELIMINARES</t>
  </si>
  <si>
    <t>1.0</t>
  </si>
  <si>
    <t>1.1</t>
  </si>
  <si>
    <t>2.0</t>
  </si>
  <si>
    <t>FUNDAÇÃO</t>
  </si>
  <si>
    <t>2.1</t>
  </si>
  <si>
    <t>2.2</t>
  </si>
  <si>
    <t>3.0</t>
  </si>
  <si>
    <t>VIGA BALDRAME</t>
  </si>
  <si>
    <t>3.1</t>
  </si>
  <si>
    <t>3.2</t>
  </si>
  <si>
    <t>3.3</t>
  </si>
  <si>
    <t>3.4</t>
  </si>
  <si>
    <t>3.5</t>
  </si>
  <si>
    <t>4.0</t>
  </si>
  <si>
    <t>ESTRUTURA</t>
  </si>
  <si>
    <t>4.1</t>
  </si>
  <si>
    <t>4.2</t>
  </si>
  <si>
    <t>4.3</t>
  </si>
  <si>
    <t>5.0</t>
  </si>
  <si>
    <t>ALVENARIA E REVESTIMENTO</t>
  </si>
  <si>
    <t>6.0</t>
  </si>
  <si>
    <t>6.1</t>
  </si>
  <si>
    <t>6.2</t>
  </si>
  <si>
    <t>6.3</t>
  </si>
  <si>
    <t>7.0</t>
  </si>
  <si>
    <t>7.1</t>
  </si>
  <si>
    <t>8.0</t>
  </si>
  <si>
    <t>DESCRIÇÃO DO ITEM</t>
  </si>
  <si>
    <t>UNID</t>
  </si>
  <si>
    <t>QUANT</t>
  </si>
  <si>
    <t>VALORES UNITÁRIOS</t>
  </si>
  <si>
    <t>UNIT SEM BDI</t>
  </si>
  <si>
    <t xml:space="preserve"> UNIT COM BDI</t>
  </si>
  <si>
    <t>ETAPAS DA OBRA</t>
  </si>
  <si>
    <t>%</t>
  </si>
  <si>
    <t>TAPUME COM TELHA METÁLICA. AF_05/2018</t>
  </si>
  <si>
    <t>Data:</t>
  </si>
  <si>
    <t>BDI (%):</t>
  </si>
  <si>
    <t>COMPOSIÇÃO DE CUSTO UNITÁRIO</t>
  </si>
  <si>
    <t>UND</t>
  </si>
  <si>
    <t>P. UNIT</t>
  </si>
  <si>
    <t>INSUMO</t>
  </si>
  <si>
    <t>COMPOSIÇÃO</t>
  </si>
  <si>
    <t>1.2</t>
  </si>
  <si>
    <t>1.3</t>
  </si>
  <si>
    <t>ADMINISTRAÇÃO LOCAL DE OBRA</t>
  </si>
  <si>
    <t>H</t>
  </si>
  <si>
    <t>REMOÇÃO DE PORTAS, DE FORMA MANUAL, SEM REAPROVEITAMENTO. AF_12/2017</t>
  </si>
  <si>
    <t>REMOÇÃO DE JANELAS, DE FORMA MANUAL, SEM REAPROVEITAMENTO. AF_12/2017</t>
  </si>
  <si>
    <t>REMOÇÃO DE LOUÇAS, DE FORMA MANUAL, SEM REAPROVEITAMENTO. AF_12/2017</t>
  </si>
  <si>
    <t>REMOÇÃO DE METAIS SANITÁRIOS, DE FORMA MANUAL, SEM REAPROVEITAMENTO. AF_12/2017</t>
  </si>
  <si>
    <t>REMOÇÃO DE INTERRUPTORES/TOMADAS ELÉTRICAS, DE FORMA MANUAL, SEM REAPROVEITAMENTO. AF_12/2017</t>
  </si>
  <si>
    <t>REMOÇÃO DE CABOS ELÉTRICOS, DE FORMA MANUAL, SEM REAPROVEITAMENTO. AF_12/2017</t>
  </si>
  <si>
    <t>DEMOLIÇÃO DE REVESTIMENTO CERÂMICO, DE FORMA MANUAL, SEM REAPROVEITAMENTO. AF_12/2017</t>
  </si>
  <si>
    <t>DEMOLIÇÃO DE PILARES E VIGAS EM CONCRETO ARMADO, DE FORMA MANUAL, SEM REAPROVEITAMENTO. AF_12/2017</t>
  </si>
  <si>
    <t>DEMOLIÇÃO DE RODAPÉ CERÂMICO, DE FORMA MANUAL, SEM REAPROVEITAMENTO. AF_12/2017</t>
  </si>
  <si>
    <t>REMOÇÃO/ DEMOLIÇÃO</t>
  </si>
  <si>
    <t>9.0</t>
  </si>
  <si>
    <t>10.0</t>
  </si>
  <si>
    <t>LOUÇAS, METAIS E BANCADAS</t>
  </si>
  <si>
    <t>11.0</t>
  </si>
  <si>
    <t>12.0</t>
  </si>
  <si>
    <t>13.0</t>
  </si>
  <si>
    <t xml:space="preserve">INSTALAÇÕES HIDROSSANITÁRIAS </t>
  </si>
  <si>
    <t>14.0</t>
  </si>
  <si>
    <t>MURO</t>
  </si>
  <si>
    <t>DESCRIÇÃO 
AMBIENTE</t>
  </si>
  <si>
    <t>M²</t>
  </si>
  <si>
    <t>MEDIDAS</t>
  </si>
  <si>
    <t>SALA DE EDUCAÇÃO EM SAÚDE - GRUPO</t>
  </si>
  <si>
    <t>4,56X3,75</t>
  </si>
  <si>
    <t>ACOLHIMENTO</t>
  </si>
  <si>
    <t>4,56X2,73</t>
  </si>
  <si>
    <t>ESPERA EXTERNA</t>
  </si>
  <si>
    <t>6,00X</t>
  </si>
  <si>
    <t>PORTAS</t>
  </si>
  <si>
    <t>JANELAS</t>
  </si>
  <si>
    <t>PA1</t>
  </si>
  <si>
    <t>PC2</t>
  </si>
  <si>
    <t>JC5</t>
  </si>
  <si>
    <t>TELA</t>
  </si>
  <si>
    <t>X</t>
  </si>
  <si>
    <t>PDA3</t>
  </si>
  <si>
    <t>JC4</t>
  </si>
  <si>
    <t>San. PCD Masculino</t>
  </si>
  <si>
    <t>San. PCD Feminino</t>
  </si>
  <si>
    <t>2,23x1,65</t>
  </si>
  <si>
    <t>PA1a</t>
  </si>
  <si>
    <t>JC1</t>
  </si>
  <si>
    <t>Circulação 01</t>
  </si>
  <si>
    <t>Atendimento</t>
  </si>
  <si>
    <t>3,95x</t>
  </si>
  <si>
    <t>Sala de Imunização - Vacina</t>
  </si>
  <si>
    <t>4,65x2,63</t>
  </si>
  <si>
    <t>JEX</t>
  </si>
  <si>
    <t>Sala de Inalação Coletiva</t>
  </si>
  <si>
    <t>3,45X3,65</t>
  </si>
  <si>
    <t>Banho Observação</t>
  </si>
  <si>
    <t>Observação de Curta Premanência</t>
  </si>
  <si>
    <t>3,30X6,18</t>
  </si>
  <si>
    <t>PDA2</t>
  </si>
  <si>
    <t>San. PCD Emergência</t>
  </si>
  <si>
    <t>1,70X</t>
  </si>
  <si>
    <t>Sala de urgencia</t>
  </si>
  <si>
    <t>JC3</t>
  </si>
  <si>
    <t>x</t>
  </si>
  <si>
    <t>3,35x</t>
  </si>
  <si>
    <t>Consultório Indiferenciado 02</t>
  </si>
  <si>
    <t>Consultório Indiferenciado 01</t>
  </si>
  <si>
    <t>PA1 / PA1a</t>
  </si>
  <si>
    <t>JC3/JC1</t>
  </si>
  <si>
    <t>1 de cada</t>
  </si>
  <si>
    <t>San. Consult. Indif. 01</t>
  </si>
  <si>
    <t>1,20x</t>
  </si>
  <si>
    <t>3,85x</t>
  </si>
  <si>
    <t>Sala de Procedimentos</t>
  </si>
  <si>
    <t>3,30x6,19</t>
  </si>
  <si>
    <t>Consultório Diferenciado</t>
  </si>
  <si>
    <t>San. Cons. Diferenciado</t>
  </si>
  <si>
    <t>Curativo</t>
  </si>
  <si>
    <t>2,43x6,19
1,51x</t>
  </si>
  <si>
    <t>3,37x3,00</t>
  </si>
  <si>
    <t>Odontologia</t>
  </si>
  <si>
    <t>Sala de agente de endemias</t>
  </si>
  <si>
    <t>Farmácia/Almoxarifado -Armazenamento</t>
  </si>
  <si>
    <t>4,13x3,0</t>
  </si>
  <si>
    <t>2,33x3,00</t>
  </si>
  <si>
    <t>4,57x3,75</t>
  </si>
  <si>
    <t>JC4/JC3b</t>
  </si>
  <si>
    <t>Espera Interna</t>
  </si>
  <si>
    <t>Circulação 02</t>
  </si>
  <si>
    <t>Circulação 03</t>
  </si>
  <si>
    <t>DML</t>
  </si>
  <si>
    <t>Esterilização</t>
  </si>
  <si>
    <t>Vest. Func. Fem.</t>
  </si>
  <si>
    <t>Vest. Func. Masc.</t>
  </si>
  <si>
    <t>Copa</t>
  </si>
  <si>
    <t>Sala Administrativa e de Agentes Comunitário</t>
  </si>
  <si>
    <t>h=2,70</t>
  </si>
  <si>
    <t>1,40x3,41</t>
  </si>
  <si>
    <t>2,43x3,41</t>
  </si>
  <si>
    <t>3,22x3,41</t>
  </si>
  <si>
    <t>1,50x3,41</t>
  </si>
  <si>
    <t>Sala deUtilidades (Expurgo)</t>
  </si>
  <si>
    <t>4,51x2,27
2,18x1,14</t>
  </si>
  <si>
    <t>3,97x3,41
0,99x</t>
  </si>
  <si>
    <t>PA1b</t>
  </si>
  <si>
    <t>JC2</t>
  </si>
  <si>
    <t>Abrigo de Resíduo Contaminado</t>
  </si>
  <si>
    <t>Abrigo de Resíduo Comum</t>
  </si>
  <si>
    <t>Manutenção</t>
  </si>
  <si>
    <t>Gerador</t>
  </si>
  <si>
    <t>PA2</t>
  </si>
  <si>
    <t>1,99x2,90</t>
  </si>
  <si>
    <t>1,61x2,71</t>
  </si>
  <si>
    <t>1,70x2,71</t>
  </si>
  <si>
    <t>1,78x2,71</t>
  </si>
  <si>
    <t>PDA1</t>
  </si>
  <si>
    <t>PDG1</t>
  </si>
  <si>
    <t>Circulação -Área Funcionários</t>
  </si>
  <si>
    <t>APLICAÇÃO MANUAL DE PINTURA COM TINTA LÁTEX ACRÍLICA EM PAREDES, DUAS DEMÃOS. AF_06/2014</t>
  </si>
  <si>
    <t>11.1</t>
  </si>
  <si>
    <t>11.2</t>
  </si>
  <si>
    <t>11.3</t>
  </si>
  <si>
    <t>CHAPISCO APLICADO TANTO EM PILARES E VIGAS DE CONCRETO COMO EM ALVENARIAS DE PAREDES INTERNAS, COM COLHER DE PEDREIRO. ARGAMASSA TRAÇO 1:3 COM PREPARO MANUAL. AF_06/2014</t>
  </si>
  <si>
    <t>15.0</t>
  </si>
  <si>
    <t>SERVIÇOS COMPLEMENTARES</t>
  </si>
  <si>
    <t>REVESTIMENTO CERÂMICO PARA PISO COM PLACAS TIPO PORCELANATO DE DIMENSÕES 60X60 CM APLICADA EM AMBIENTES DE ÁREA MAIOR QUE 10 M². AF_06/2014</t>
  </si>
  <si>
    <t>9.1</t>
  </si>
  <si>
    <t>14.1</t>
  </si>
  <si>
    <t>15.1</t>
  </si>
  <si>
    <t>15.2</t>
  </si>
  <si>
    <t>CONCRETO FCK = 25MPA, TRAÇO 1:2,3:2,7 (CIMENTO/ AREIA MÉDIA/ BRITA 1)- PREPARO MECÂNICO COM BETONEIRA 400 L. AF_07/2016</t>
  </si>
  <si>
    <t>15.3</t>
  </si>
  <si>
    <t>PILARES</t>
  </si>
  <si>
    <t>15.4</t>
  </si>
  <si>
    <t>PREFEITURA MUNICIPAL DE ARIPUANÃ/MT</t>
  </si>
  <si>
    <t>COBERTURA</t>
  </si>
  <si>
    <t>PISOS</t>
  </si>
  <si>
    <t>MEMÓRIA DE CÁLCULO DE SERVIÇOS</t>
  </si>
  <si>
    <t>MEMÓRIA DE CÁLCULO</t>
  </si>
  <si>
    <t>CRONOGRAMA FÍSICO FINANCEIRO</t>
  </si>
  <si>
    <t>VALOR ÍTEM</t>
  </si>
  <si>
    <t>16.0</t>
  </si>
  <si>
    <t>3.6</t>
  </si>
  <si>
    <t>3.7</t>
  </si>
  <si>
    <t>3.8</t>
  </si>
  <si>
    <t>3.9</t>
  </si>
  <si>
    <t>3.10</t>
  </si>
  <si>
    <t>3.11</t>
  </si>
  <si>
    <t>3.12</t>
  </si>
  <si>
    <t>3.13</t>
  </si>
  <si>
    <t>3.14</t>
  </si>
  <si>
    <t>4.4</t>
  </si>
  <si>
    <t>4.5</t>
  </si>
  <si>
    <t>4.6</t>
  </si>
  <si>
    <t>6.4</t>
  </si>
  <si>
    <t>6.5</t>
  </si>
  <si>
    <t>7.2</t>
  </si>
  <si>
    <t>9.4</t>
  </si>
  <si>
    <t>10.1</t>
  </si>
  <si>
    <t>10.2</t>
  </si>
  <si>
    <t>10.3</t>
  </si>
  <si>
    <t>10.4</t>
  </si>
  <si>
    <t>11.4</t>
  </si>
  <si>
    <t>12.1</t>
  </si>
  <si>
    <t>12.2</t>
  </si>
  <si>
    <t>12.3</t>
  </si>
  <si>
    <t>12.4</t>
  </si>
  <si>
    <t>13.1</t>
  </si>
  <si>
    <t>13.2</t>
  </si>
  <si>
    <t>13.3</t>
  </si>
  <si>
    <t>13.4</t>
  </si>
  <si>
    <t>14.2</t>
  </si>
  <si>
    <t>14.3</t>
  </si>
  <si>
    <t>14.4</t>
  </si>
  <si>
    <t>16.1</t>
  </si>
  <si>
    <t>16.2</t>
  </si>
  <si>
    <t>16.3</t>
  </si>
  <si>
    <t>16.4</t>
  </si>
  <si>
    <t>REMOÇÃO / DEMOLIÇÃO</t>
  </si>
  <si>
    <t>INSTALAÇÕES HIDROSSANITÁRIAS</t>
  </si>
  <si>
    <t>CÓD.</t>
  </si>
  <si>
    <t>4.7</t>
  </si>
  <si>
    <t>4.8</t>
  </si>
  <si>
    <t>CÓD. SINAPI</t>
  </si>
  <si>
    <t>DESCRIÇÃO</t>
  </si>
  <si>
    <t>P. TOTAL</t>
  </si>
  <si>
    <t>RUA GUARANTÃ, S/N, DISTRITO DE CONSELVAN, ARIPUANÃ - MT</t>
  </si>
  <si>
    <t>TABELA DE REFERÊNCIA:</t>
  </si>
  <si>
    <t>ÁREA:</t>
  </si>
  <si>
    <t>OBRA:</t>
  </si>
  <si>
    <t>LOCAL:</t>
  </si>
  <si>
    <t>VALOR:</t>
  </si>
  <si>
    <t>PROP.:</t>
  </si>
  <si>
    <t>REFORMA E AMPLIAÇÃO DA UNIDADE BÁSICA DE SAÚDE DO DISTRITO DE CONSELVAN</t>
  </si>
  <si>
    <t>PLANILHA ORÇAMENTÁRIA</t>
  </si>
  <si>
    <t>ENGENHEIRO CIVIL DE OBRA PLENO COM ENCARGOS COMPLEMENTARES</t>
  </si>
  <si>
    <t>526,61m²</t>
  </si>
  <si>
    <t>SARRAFO DE MADEIRA NAO APARELHADA *2,5 X 7* CM, MACARANDUBA, ANGELIM OU EQUIVALENTE DA REGIAO</t>
  </si>
  <si>
    <t>M</t>
  </si>
  <si>
    <t>PECA DE MADEIRA NATIVA / REGIONAL 7,5 X 7,5CM (3X3) NAO APARELHADA (P/FORMA)</t>
  </si>
  <si>
    <t>PLACA DE OBRA (PARA CONSTRUCAO CIVIL) EM CHAPA GALVANIZADA *N. 22*, DE *2,0 X 1,125* M</t>
  </si>
  <si>
    <t>M2</t>
  </si>
  <si>
    <t>PREGO DE ACO POLIDO COM CABECA 18 X 30 (2 3/4 X 10)</t>
  </si>
  <si>
    <t>KG</t>
  </si>
  <si>
    <t>CARPINTEIRO DE FORMAS COM ENCARGOS COMPLEMENTARES</t>
  </si>
  <si>
    <t>SERVENTE COM ENCARGOS COMPLEMENTARES</t>
  </si>
  <si>
    <t>CONCRETO MAGRO PARA LASTRO, TRAÇO 1:4,5:4,5 (CIMENTO/ AREIA MÉDIA/ BRITA 1)  - PREPARO MECÂNICO COM BETONEIRA 400 L. AF_07/2016</t>
  </si>
  <si>
    <t>M3</t>
  </si>
  <si>
    <t>30 DIAS</t>
  </si>
  <si>
    <t>60 DIAS</t>
  </si>
  <si>
    <t>90 DIAS</t>
  </si>
  <si>
    <t>120 DIAS</t>
  </si>
  <si>
    <t>150 DIAS</t>
  </si>
  <si>
    <t>180 DIAS</t>
  </si>
  <si>
    <t>Fonte:</t>
  </si>
  <si>
    <t>REMOÇÃO DE TRAMA DE MADEIRA PARA COBERTURA, DE FORMA MANUAL, SEM REAPROVEITAMENTO. AF_12/2017</t>
  </si>
  <si>
    <t>PISO</t>
  </si>
  <si>
    <t>ESQUADRIAS</t>
  </si>
  <si>
    <t>INSTALAÇÕES ELÉTRICAS</t>
  </si>
  <si>
    <t>LOCACAO CONVENCIONAL DE OBRA, UTILIZANDO GABARITO DE TÁBUAS CORRIDAS PONTALETADAS A CADA 2,00M - 2 UTILIZAÇÕES. AF_10/2018</t>
  </si>
  <si>
    <t>1.4</t>
  </si>
  <si>
    <t>DEMOLIÇÃO DE ALVENARIA DE BLOCO FURADO, DE FORMA MANUAL, SEM REAPROVEITAMENTO. AF_12/2017</t>
  </si>
  <si>
    <t>11.5</t>
  </si>
  <si>
    <t>VIGAS</t>
  </si>
  <si>
    <t>JARDINEIRO COM ENCARGOS COMPLEMENTARES</t>
  </si>
  <si>
    <t>GRAMA ESMERALDA OU SAO CARLOS OU CURITIBANA, EM PLACAS, SEM PLANTIO</t>
  </si>
  <si>
    <t>TERRA VEGETAL (GRANEL)</t>
  </si>
  <si>
    <t>FORNECIMENTO E ESPALHAMENTO DE TERRA VEGETAL</t>
  </si>
  <si>
    <t>APLICAÇÃO E LIXAMENTO DE MASSA LÁTEX EM PAREDES, UMA DEMÃO. AF_06/2014</t>
  </si>
  <si>
    <t>APLICAÇÃO DE FUNDO SELADOR ACRÍLICO EM PAREDES, UMA DEMÃO. AF_06/2014</t>
  </si>
  <si>
    <t>Dados coletados do projeto</t>
  </si>
  <si>
    <t>PEDREIRO COM ENCARGOS COMPLEMENTARES</t>
  </si>
  <si>
    <t>7.4</t>
  </si>
  <si>
    <t>7.5</t>
  </si>
  <si>
    <t>1.5</t>
  </si>
  <si>
    <t>1.6</t>
  </si>
  <si>
    <t>1.7</t>
  </si>
  <si>
    <t>2.3</t>
  </si>
  <si>
    <t>ARMAÇÃO DE BLOCO, VIGA BALDRAME OU SAPATA UTILIZANDO AÇO CA-50 DE 8 MM - MONTAGEM. AF_06/2017</t>
  </si>
  <si>
    <t>CHP</t>
  </si>
  <si>
    <t>BASEADO NA COMPOSIÇÃO ORSE CÓD. 2394</t>
  </si>
  <si>
    <t>BASEADO NA COMPOSIÇÃO SINAPI CÓD. 98504</t>
  </si>
  <si>
    <t>BASEADO NA COMPOSIÇÃO SINAPI CÓD. 74209/1</t>
  </si>
  <si>
    <t>REJUNTE CIMENTICIO, QUALQUER COR</t>
  </si>
  <si>
    <t>ARGAMASSA COLANTE TIPO AC III</t>
  </si>
  <si>
    <t>PISO PORCELANATO, BORDA RETA, EXTRA, FORMATO MAIOR QUE 2025 CM2</t>
  </si>
  <si>
    <t>COMPOSICAO</t>
  </si>
  <si>
    <t>AZULEJISTA OU LADRILHISTA COM ENCARGOS COMPLEMENTARES</t>
  </si>
  <si>
    <t>13.5</t>
  </si>
  <si>
    <t>13.6</t>
  </si>
  <si>
    <t>13.7</t>
  </si>
  <si>
    <t>13.8</t>
  </si>
  <si>
    <t>13.9</t>
  </si>
  <si>
    <t>13.10</t>
  </si>
  <si>
    <t>IMPERMEABILIZAÇÃO DE SUPERFÍCIE COM ARGAMASSA POLIMÉRICA / MEMBRANA ACRÍLICA, 3 DEMÃOS. AF_06/2018</t>
  </si>
  <si>
    <t>PINTURAS</t>
  </si>
  <si>
    <t>VASO SANITÁRIO SIFONADO COM CAIXA ACOPLADA LOUÇA BRANCA, INCLUSO ENGATE FLEXÍVEL EM PLÁSTICO BRANCO, 1/2 X 40CM - FORNECIMENTO E INSTALAÇÃO. AF_01/2020</t>
  </si>
  <si>
    <t>LAVATÓRIO LOUÇA BRANCA SUSPENSO, 29,5 X 39CM OU EQUIVALENTE, PADRÃO POPULAR - FORNECIMENTO E INSTALAÇÃO. AF_01/2020</t>
  </si>
  <si>
    <t>FITA VEDA ROSCA EM ROLOS DE 18 MM X 10 M (L X C)</t>
  </si>
  <si>
    <t>UN</t>
  </si>
  <si>
    <t>ENCANADOR OU BOMBEIRO HIDRÁULICO COM ENCARGOS COMPLEMENTARES</t>
  </si>
  <si>
    <t>TORNEIRA CROMADA DE MESA PARA LAVATORIO TEMPORIZADA PRESSAO BICA BAIXA</t>
  </si>
  <si>
    <t>BASEADO NA COMPOSIÇÃO SINAPI CÓD. 86915</t>
  </si>
  <si>
    <t>TORNEIRA CROMADA DE MESA PARA LAVATORIO TEMPORIZADA PRESSAO - FORNECIMENTO E INSTALAÇÃO</t>
  </si>
  <si>
    <t>TORNEIRA CROMADA DE MESA PARA LAVATORIO TEMPORIZADA PRESSAO - FORNECIMENTO E INSTALAÇÃO.</t>
  </si>
  <si>
    <t>TANQUE DE LOUÇA BRANCA COM COLUNA, 30L OU EQUIVALENTE - FORNECIMENTO E INSTALAÇÃO. AF_01/2020</t>
  </si>
  <si>
    <t>TORNEIRA CROMADA TUBO MÓVEL, DE MESA, 1/2 OU 3/4, PARA PIA DE COZINHA, PADRÃO ALTO - FORNECIMENTO E INSTALAÇÃO. AF_01/2020</t>
  </si>
  <si>
    <t>BASEADO NA COMPOSIÇÃO SINAPI CÓD. 100854</t>
  </si>
  <si>
    <t>ASSENTO SANITÁRIO CONVENCIONAL - FORNECIMENTO E INSTALACAO. AF_01/2020</t>
  </si>
  <si>
    <t>BASEADO NA COMPOSIÇÃO SEINFRA CÓD. C4000</t>
  </si>
  <si>
    <t>AUXILIAR DE ENCANADOR OU BOMBEIRO HIDRÁULICO COM ENCARGOS COMPLEMENTAR MES CR 2.426,51ES</t>
  </si>
  <si>
    <t>TORNEIRA CROMADA COM BICO PARA JARDIM/TANQUE 1/2 " OU 3/4 " (REF 1153)</t>
  </si>
  <si>
    <t xml:space="preserve">BASEADO NA COMPOSIÇÃO SINAPI CÓD. 86910 </t>
  </si>
  <si>
    <t>VÁLVULA EM METAL CROMADO 1.1/2 X 1.1/2 PARA TANQUE OU LAVATÓRIO, COM OU SEM LADRÃO - FORNECIMENTO E INSTALAÇÃO. AF_01/2020</t>
  </si>
  <si>
    <t>COTAÇÃO</t>
  </si>
  <si>
    <t>TORNEIRA CROMADA DE PAREDE COM ALAVANCA DE ACIONAMENTO POR COTOVELO.</t>
  </si>
  <si>
    <t>TORNEIRA CROMADA DE MESA COM ALAVANCA DE ACIONAMENTO POR COTOVELO</t>
  </si>
  <si>
    <t>TORNEIRA CROMADA DE MESA PARA LAVATÓRIO COM ALAVANCA DE ACIONAMENTO POR COTOVELO - FORNECIMENTO E INSTALAÇÃO</t>
  </si>
  <si>
    <t>TORNEIRA CROMADA DE PAREDE PARA LAVATÓRIO COM ALAVANCA DE ACIONAMENTO POR COTOVELO - FORNECIMENTO E INSTALAÇÃO</t>
  </si>
  <si>
    <t>TORNEIRA TIPO JARDIM CROMADA - FORNECIMENTO E INSTALAÇÃO</t>
  </si>
  <si>
    <t>TORNEIRA CROMADA DE PAREDE COM ALAVANCA DE ACIONAMENTO POR COTOVELO - FORNECIMENTO E INSTALAÇÃO</t>
  </si>
  <si>
    <t>RODAPÉ CERÂMICO DE 7CM DE ALTURA COM PLACAS TIPO ESMALTADA EXTRA DE DIMENSÕES 60X60CM. AF_06/2014</t>
  </si>
  <si>
    <t/>
  </si>
  <si>
    <t>PISO EM CERAMICA ESMALTADA EXTRA, PEI MAIOR OU IGUAL A 4, FORMATO MAIOR QUE 2025 CM2</t>
  </si>
  <si>
    <t>ARGAMASSA COLANTE AC I PARA CERAMICAS</t>
  </si>
  <si>
    <t>RODAPÉ EM PORCELANATO DE 10CM DE ALTURA COM PLACAS DE DIMENSÕES 60X60CM - FORNECIMENTO E INSTALAÇÃO</t>
  </si>
  <si>
    <t>BASEADO EM 88650</t>
  </si>
  <si>
    <t>BASEADO NA COMPOSIÇÃO SINAPI CÓD. 88650</t>
  </si>
  <si>
    <t>BARRA DE APOIO RETA, EM ACO INOX POLIDO, COMPRIMENTO 60CM, FIXADA NA PAREDE - FORNECIMENTO E INSTALAÇÃO. AF_01/2020</t>
  </si>
  <si>
    <t>BARRA DE APOIO RETA, EM ACO INOX POLIDO, COMPRIMENTO 60CM, FIXADA NA PAREDE - FORNECIMENTO E INSTALAÇÃO. AF_01/2021</t>
  </si>
  <si>
    <t>BARRA DE APOIO RETA, EM ACO INOX POLIDO, COMPRIMENTO 40CM, FIXADA NA PAREDE - FORNECIMENTO E INSTALAÇÃO. AF_01/2020</t>
  </si>
  <si>
    <t>BARRA DE APOIO RETA, EM ACO INOX POLIDO, COMPRIMENTO 70 CM,  FIXADA NA PAREDE - FORNECIMENTO E INSTALAÇÃO. AF_01/2020</t>
  </si>
  <si>
    <t>BARRA DE APOIO RETA, EM ACO INOX POLIDO, COMPRIMENTO 80 CM,  FIXADA NA PAREDE - FORNECIMENTO E INSTALAÇÃO. AF_01/2020</t>
  </si>
  <si>
    <t>PARAFUSO NIQUELADO 3 1/2" COM ACABAMENTO CROMADO PARA FIXAR PECA SANITARIA, INCLUI PORCA CEGA, ARRUELA E BUCHA DE NYLON TAMANHO S-8</t>
  </si>
  <si>
    <t>BASEADO NA COMPOSIÇÃO SINAPI CÓD. 100866</t>
  </si>
  <si>
    <t>BARRA DE APOIO RETA, EM ACO INOX POLIDO, COMPRIMENTO 40CM, DIAMETRO MINIMO 3 CM</t>
  </si>
  <si>
    <t>BASEADO NA COMPOSIÇÃO SINAPI CÓD. 100860</t>
  </si>
  <si>
    <t>RALO SIFONADO, PVC, DN 100 X 40 MM, JUNTA SOLDÁVEL, FORNECIDO E INSTALADO EM RAMAL DE DESCARGA OU EM RAMAL DE ESGOTO SANITÁRIO. AF_12/2014</t>
  </si>
  <si>
    <t>ADESIVO PLASTICO PARA PVC, FRASCO COM 850 GR</t>
  </si>
  <si>
    <t>SOLUCAO LIMPADORA PARA PVC, FRASCO COM 1000 CM3</t>
  </si>
  <si>
    <t>LIXA D'AGUA EM FOLHA, GRAO 100</t>
  </si>
  <si>
    <t>AUXILIAR DE ENCANADOR OU BOMBEIRO HIDRÁULICO COM ENCARGOS COMPLEMENTARES</t>
  </si>
  <si>
    <t>BASEADO NA COMPOSIÇÃO SINAPI CÓD. 89709</t>
  </si>
  <si>
    <t>10.5</t>
  </si>
  <si>
    <t>10.6</t>
  </si>
  <si>
    <t>10.7</t>
  </si>
  <si>
    <t>10.8</t>
  </si>
  <si>
    <t>10.9</t>
  </si>
  <si>
    <t>10.10</t>
  </si>
  <si>
    <t>10.11</t>
  </si>
  <si>
    <t>10.12</t>
  </si>
  <si>
    <t>10.13</t>
  </si>
  <si>
    <t>10.14</t>
  </si>
  <si>
    <t>10.15</t>
  </si>
  <si>
    <t>10.16</t>
  </si>
  <si>
    <t>10.17</t>
  </si>
  <si>
    <t>10.18</t>
  </si>
  <si>
    <t>10.19</t>
  </si>
  <si>
    <t>10.20</t>
  </si>
  <si>
    <t>10.21</t>
  </si>
  <si>
    <t>10.22</t>
  </si>
  <si>
    <t xml:space="preserve">BANCADA DE AÇO INOXIDÁVEL DE 1,50 X 0,55 M PARA PIA - FORNECIMENTO E INSTALAÇÃO. </t>
  </si>
  <si>
    <t xml:space="preserve">BANCADA DE AÇO INOXIDÁVEL DE 1,50 X 0,55 M, PARA PIA - FORNECIMENTO E INSTALAÇÃO. </t>
  </si>
  <si>
    <t xml:space="preserve">BANCADA DE AÇO INOXIDÁVEL EM "L" DE 2,43 X 0,55 M; E, 1,34 X 0,55 M, PARA PIA - FORNECIMENTO E INSTALAÇÃO. </t>
  </si>
  <si>
    <t>BANCADA/TAMPO AÇO INOX (AISI 304), LARGURA 60 CM, COM RODABANCA (NAO INCLUI PES DE APOIO)</t>
  </si>
  <si>
    <t>BASEADO NA COMPOSIÇÃO ORSE CÓD. 9758</t>
  </si>
  <si>
    <t>VALVULA EM METAL CROMADO PARA LAVATORIO, 1" SEM LADRAO</t>
  </si>
  <si>
    <t>SIFAO EM METAL CROMADO PARA PIA OU LAVATORIO, 1 X 1.1/2 "</t>
  </si>
  <si>
    <t>BASEADO NA COMPOSIÇÃO ORSE CÓD. 8365</t>
  </si>
  <si>
    <t>BANCADA DE AÇO INOXIDÁVEL EM "L" DE 2,62 X 0,75 M; E, 3,4 X 0,60 M - FORNECIMENTO E INSTALAÇÃO.</t>
  </si>
  <si>
    <t>BANCADA/TAMPO AÇO INOX (AISI 304), LARGURA 70 CM, COM RODABANCA (NAO INCLUI PES DE APOIO)</t>
  </si>
  <si>
    <t>BANCADA DE AÇO INOXIDÁVEL EM "L" DE 2,62 X 0,75 M; 3,4 X 0,60 M - FORNECIMENTO E INSTALAÇÃO.</t>
  </si>
  <si>
    <t>BASEADO NA COMPOSIÇÃO SINAPI CÓD. 8365</t>
  </si>
  <si>
    <t>BANCADA DE AÇO INOXIDÁVEL EM "L" DE 1,86 X 0,55 M; E, 1,87 X 0,55 M - FORNECIMENTO E INSTALAÇÃO.</t>
  </si>
  <si>
    <t>PIA DE EXPURGO HOSPITALAR EM AÇO INOX AISI 304, ESPESSURA 0,8MM, ACABAMENTO ESCOVADO, MEDINDO (70X52,5 CM). MARCA HIDRONOX OU SIMILAR.</t>
  </si>
  <si>
    <t>PIA DE EXPURGO HOSPITALAR - FORNECIMENTO E INSTALAÇÃO</t>
  </si>
  <si>
    <t>BANCADA/BANCA/PIA DE ACO INOXIDAVEL (AISI 430) COM 1 CUBA CENTRAL, SEM VALVULA, ESCORREDOR DUPLO, DE *0,55 X 1,60* M</t>
  </si>
  <si>
    <t>ENCANADOR OU BOMBEIRO HIDRAULICO  COM ENCARGOS COMPLEMENTARES</t>
  </si>
  <si>
    <t>AUXILIAR DE ENCANADOR OU BOMBEIRO HIDRAULICO  COM ENCARGOS COMPLEMENTARES</t>
  </si>
  <si>
    <t>BASEADO NA COMPOSIÇÃO ORSE CÓD.12867</t>
  </si>
  <si>
    <t>ENGATE FLEXÍVEL EM PLÁSTICO BRANCO, 1/2 X 30CM - FORNECIMENTO E INSTALAÇÃO. AF_01/2020</t>
  </si>
  <si>
    <t>BANCADA DE GRANITO CINZA POLIDO, DE 1,50 X 0,60 M, PARA PIA DE COZINHA - FORNECIMENTO E INSTALAÇÃO. AF_01/2020</t>
  </si>
  <si>
    <t>CUBA DE EMBUTIR DE AÇO INOXIDÁVEL MÉDIA, INCLUSO VÁLVULA TIPO AMERICANA EM METAL CROMADO E SIFÃO FLEXÍVEL EM PVC - FORNECIMENTO E INSTALAÇÃO. AF_01/2020</t>
  </si>
  <si>
    <t>BASEADO NA COMPOSIÇÃO SINAPI CÓD.93441</t>
  </si>
  <si>
    <t>CUBA DE EMBUTIR OVAL EM LOUÇA BRANCA, 35 X 50CM OU EQUIVALENTE, INCLUSO VÁLVULA E SIFÃO TIPO GARRAFA EM METAL CROMADO - FORNECIMENTO E INSTALAÇÃO. AF_01/2020</t>
  </si>
  <si>
    <t>TOTAL PARCIAL</t>
  </si>
  <si>
    <t>BANCADA EM AÇO INOX, 60CM DE LARGURA, PARA CUBAS SIMPLES, CONCRETADA, ACABAMENTO LISO E POLIDO, ASSENTADA COM ARGAMASSA</t>
  </si>
  <si>
    <t>BANCADA EM AÇO INOX, 70CM DE LARGURA, PARA CUBAS SIMPLES, CONCRETADA, ACABAMENTO LISO E POLIDO, ASSENTADA COM ARGAMASSA</t>
  </si>
  <si>
    <t>BANCADA GRANITO CINZA 150 X 60 CM, COM 2 CUBAS OVAIS DE LOUÇA BRANCA, DE EMBUTIR, VÁLVULA E SIFÃO TIPO GARRAFA EM METAL CROMADO, ENGATE FLEXÍVEL 30 CM - FORNEC. E INSTALAÇÃO</t>
  </si>
  <si>
    <t>BANCADA GRANITO CINZA 150 X 60 CM, COM 2 CUBAS OVAIS DE LOUÇA BRANCA,  DE EMBUTIR, VÁLVULA E SIFÃO TIPO GARRAFA EM METAL CROMADO, ENGATE FLEXÍVEL 30 CM - FORNEC./INSTALAÇÃO</t>
  </si>
  <si>
    <t>TUBO, PVC, SOLDÁVEL, DN 25MM, INSTALADO EM RAMAL OU SUB-RAMAL DE ÁGUA - FORNECIMENTO E INSTALAÇÃO. AF_12/2014</t>
  </si>
  <si>
    <t>TUBO, PVC, SOLDÁVEL, DN 32MM, INSTALADO EM RAMAL OU SUB-RAMAL DE ÁGUA - FORNECIMENTO E INSTALAÇÃO. AF_12/2014</t>
  </si>
  <si>
    <t>TUBO, PVC, SOLDÁVEL, DN 40MM, INSTALADO EM PRUMADA DE ÁGUA - FORNECIMENTO E INSTALAÇÃO. AF_12/2014</t>
  </si>
  <si>
    <t>TUBO, PVC, SOLDÁVEL, DN 50MM, INSTALADO EM PRUMADA DE ÁGUA - FORNECIMENTO E INSTALAÇÃO. AF_12/2014</t>
  </si>
  <si>
    <t>TUBO, PVC, SOLDÁVEL, DN 40MM, INSTALADO EM RAMAL OU SUB-RAMAL DE ÁGUA - FORNECIMENTO E INSTALAÇÃO. AF_12/2014</t>
  </si>
  <si>
    <t>TUBO PVC, SOLDAVEL, DN 32 MM, AGUA FRIA (NBR-5648)</t>
  </si>
  <si>
    <t xml:space="preserve">TUBO PVC, SOLDAVEL, DN 40 MM, AGUA FRIA (NBR-5648) </t>
  </si>
  <si>
    <t>BASEADO NA COMPOSIÇÃO SINAPI CÓD. 89357</t>
  </si>
  <si>
    <t>TUBO, PVC, SOLDÁVEL, DN 50MM, INSTALADO EM RAMAL OU SUB-RAMAL DE ÁGUA - FORNECIMENTO E INSTALAÇÃO. AF_12/2014</t>
  </si>
  <si>
    <t>TUBO PVC, SOLDAVEL, DN 50 MM, PARA AGUA FRIA (NBR-5648)</t>
  </si>
  <si>
    <t>JOELHO 90 GRAUS, PVC, SOLDÁVEL, DN 25MM, INSTALADO EM RAMAL OU SUB-RAMAL DE ÁGUA - FORNECIMENTO E INSTALAÇÃO. AF_12/2014</t>
  </si>
  <si>
    <t>JOELHO PVC, SOLDAVEL, 90 GRAUS, 25 MM, PARA AGUA FRIA PREDIAL</t>
  </si>
  <si>
    <t>JOELHO 90 GRAUS, PVC, SOLDÁVEL, DN 25MM, INSTALADO EM RAMAL OU SUB-RAMAL DE ÁGUA</t>
  </si>
  <si>
    <t>JOELHO 90 GRAUS, PVC, SOLDÁVEL, DN 32MM, INSTALADO EM RAMAL OU SUB-RAMAL DE ÁGUA - FORNECIMENTO E INSTALAÇÃO</t>
  </si>
  <si>
    <t>JOELHO 90 GRAUS, PVC, SOLDÁVEL, DN 50MM, INSTALADO EM RAMAL OU SUB-RAMAL DE ÁGUA - FORNECIMENTO E INSTALAÇÃO</t>
  </si>
  <si>
    <t>BASEADO NA COMPOSIÇÃO SINAPI CÓD. 89362</t>
  </si>
  <si>
    <t>32MM</t>
  </si>
  <si>
    <t>50MM</t>
  </si>
  <si>
    <t>40MM</t>
  </si>
  <si>
    <t>JOELHO 90 GRAUS COM BUCHA DE LATÃO, PVC, SOLDÁVEL, DN 25MM, X 1/2 INSTALADO EM RAMAL OU SUB-RAMAL DE ÁGUA - FORNECIMENTO E INSTALAÇÃO. AF_12/2014</t>
  </si>
  <si>
    <t>13.11</t>
  </si>
  <si>
    <t>13.12</t>
  </si>
  <si>
    <t>13.13</t>
  </si>
  <si>
    <t>13.14</t>
  </si>
  <si>
    <t>13.15</t>
  </si>
  <si>
    <t>13.16</t>
  </si>
  <si>
    <t>13.17</t>
  </si>
  <si>
    <t>13.19</t>
  </si>
  <si>
    <t>BUCHA DE REDUÇÃO, PVC, SOLDÁVEL, DN 40MM X 32MM, INSTALADO EM RAMAL OU SUB-RAMAL DE ÁGUA - FORNECIMENTO E INSTALAÇÃO. AF_03/2015</t>
  </si>
  <si>
    <t>TE, PVC, SOLDÁVEL, DN 25MM, INSTALADO EM RAMAL OU SUB-RAMAL DE ÁGUA - FORNECIMENTO E INSTALAÇÃO. AF_12/2014</t>
  </si>
  <si>
    <t>TE, PVC, SOLDÁVEL, DN 40MM, INSTALADO EM RAMAL OU SUB-RAMAL DE ÁGUA - FORNECIMENTO E INSTALAÇÃO. AF_12/2014</t>
  </si>
  <si>
    <t>BASEADO NA COMPOSIÇÃO SINAPI CÓD. 89395</t>
  </si>
  <si>
    <t>TE SOLDAVEL, PVC, 90 GRAUS, 20 MM, PARA AGUA FRIA PREDIAL (NBR 5648)</t>
  </si>
  <si>
    <t>TE, PVC, SOLDÁVEL, DN 40MM, INSTALADO EM RAMAL OU SUB-RAMAL DE ÁGUA - FORNECIMENTO E INSTALAÇÃO.</t>
  </si>
  <si>
    <t>RASCUNHO - Atualização de Coeficientes Quantitativos</t>
  </si>
  <si>
    <t>TE SOLDAVEL, PVC, 90 GRAUS, 40 MM, PARA AGUA FRIA PREDIAL (NBR 5648)</t>
  </si>
  <si>
    <t>TÊ DE REDUÇÃO, PVC, SOLDÁVEL, DN 32MM X 25MM, INSTALADO EM RAMAL OU SUB-RAMAL DE ÁGUA - FORNECIMENTO E INSTALAÇÃO. AF_12/2014</t>
  </si>
  <si>
    <t>TE DE REDUCAO, PVC, SOLDAVEL, 90 GRAUS, 32 MM X 25 MM, PARA AGUA FRIA PREDIAL</t>
  </si>
  <si>
    <t>TE DE REDUCAO, PVC, SOLDAVEL, 90 GRAUS, 40 MM X 25 MM, PARA AGUA FRIA PREDIAL</t>
  </si>
  <si>
    <t>TÊ DE REDUÇÃO, PVC, SOLDÁVEL, DN 40MM X 25MM, INSTALADO EM RAMAL OU SUB-RAMAL DE ÁGUA - FORNECIMENTO E INSTALAÇÃO. AF_12/2014</t>
  </si>
  <si>
    <t>BASEADO NA COMPOSIÇÃO SINAPI CÓD. 89400</t>
  </si>
  <si>
    <t>REGISTRO DE GAVETA BRUTO, LATÃO, ROSCÁVEL, 1 (25MM), INSTALADO EM RESERVAÇÃO DE ÁGUA DE EDIFICAÇÃO QUE POSSUA RESERVATÓRIO DE FIBRA/FIBROCIMENTO - FORNECIMENTO E INSTALAÇÃO. AF_06/2016</t>
  </si>
  <si>
    <t>REGISTRO DE GAVETA BRUTO, LATÃO, ROSCÁVEL, 1 1/2 (50MM), INSTALADO EM RESERVAÇÃO DE ÁGUA DE EDIFICAÇÃO QUE POSSUA RESERVATÓRIO DE FIBRA/FIBROCIMENTO  FORNECIMENTO E INSTALAÇÃO. AF_06/2016</t>
  </si>
  <si>
    <t>REGISTRO DE GAVETA BRUTO, LATÃO, ROSCÁVEL, 2 (60MM), INSTALADO EM RESERVAÇÃO DE ÁGUA DE EDIFICAÇÃO QUE POSSUA RESERVATÓRIO DE FIBRA/FIBROCIMENTO  FORNECIMENTO E INSTALAÇÃO. AF_06/2016</t>
  </si>
  <si>
    <t>VÁLVULA DE RETENÇÃO HORIZONTAL, DE BRONZE, ROSCÁVEL, 1 1/2" (50MM) - FORNECIMENTO E INSTALAÇÃO. AF_01/2019</t>
  </si>
  <si>
    <t>15.5</t>
  </si>
  <si>
    <t>15.6</t>
  </si>
  <si>
    <t>15.7</t>
  </si>
  <si>
    <t>15.8</t>
  </si>
  <si>
    <t>15.9</t>
  </si>
  <si>
    <t>15.10</t>
  </si>
  <si>
    <t>15.11</t>
  </si>
  <si>
    <t>15.12</t>
  </si>
  <si>
    <t>15.14</t>
  </si>
  <si>
    <t>15.15</t>
  </si>
  <si>
    <t>15.16</t>
  </si>
  <si>
    <t>15.17</t>
  </si>
  <si>
    <t>REVESTIMENTO CERÂMICO PARA PAREDES INTERNAS COM PLACAS TIPO ESMALTADA EXTRA DE DIMENSÕES 33X45 CM APLICADAS EM AMBIENTES DE ÁREA MAIOR QUE 5M² NA ALTURA INTEIRA DAS PAREDES. AF_06/2014AF_06/2014</t>
  </si>
  <si>
    <t>AREIA MEDIA - POSTO JAZIDA/FORNECEDOR (SEM FRETE)</t>
  </si>
  <si>
    <t>CAL HIDRATADA CH-I PARA ARGAMASSAS</t>
  </si>
  <si>
    <t>CIMENTO PORTLAND COMPOSTO CP II-32</t>
  </si>
  <si>
    <t>BASEADO NA COMPOSIÇÃO SINAPI CÓD. 83446</t>
  </si>
  <si>
    <t>CAIXA DE PASSAGEM 30X30X40 DE CONCRETO COM TAMPA  - FORNECIMENTO E INSTALAÇÃO</t>
  </si>
  <si>
    <t>ACO CA-60, 4,2 MM, OU 5,0 MM, OU 6,0 MM, OU 7,0 MM, VERGALHAO KG CR 12,02</t>
  </si>
  <si>
    <t>CONDULETE DE ALUMÍNIO, TIPO X, PARA ELETRODUTO DE AÇO GALVANIZADO DN 20 MM (3/4''), APARENTE - FORNECIMENTO E INSTALAÇÃO. AF_11/2016_P</t>
  </si>
  <si>
    <t>AUXILIAR DE ELETRICISTA COM ENCARGOS COMPLEMENTARES</t>
  </si>
  <si>
    <t>ELETRICISTA COM ENCARGOS COMPLEMENTARES</t>
  </si>
  <si>
    <t>CAIXA DE PASSAGEM METÁLICA 30x30X10CM (SOBREPOR), FORNECIMENTO E INSTALACAO</t>
  </si>
  <si>
    <t>BUCHA EM ALUMINIO, COM ROSCA, DE 3/4", PARA ELETRODUTO</t>
  </si>
  <si>
    <t>TOMADA BAIXA DE EMBUTIR (1 MÓDULO), 2P+T 10 A, INCLUINDO SUPORTE E PLACA - FORNECIMENTO E INSTALAÇÃO. AF_12/2015</t>
  </si>
  <si>
    <t>TOMADA BAIXA DE EMBUTIR (1 MÓDULO), 2P+T 20 A, INCLUINDO SUPORTE E PLACA - FORNECIMENTO E INSTALAÇÃO. AF_12/2015</t>
  </si>
  <si>
    <t>TOMADA MÉDIA DE EMBUTIR (1 MÓDULO), 2P+T 20 A, INCLUINDO SUPORTE E PLACA - FORNECIMENTO E INSTALAÇÃO. AF_12/2015</t>
  </si>
  <si>
    <t>TOMADA BAIXA DE EMBUTIR (2 MÓDULOS), 2P+T 10 A, INCLUINDO SUPORTE E PLACA - FORNECIMENTO E INSTALAÇÃO. AF_12/2015</t>
  </si>
  <si>
    <t>TOMADA MÉDIA DE EMBUTIR (1 MÓDULO), 2P+T 10 A, INCLUINDO SUPORTE E PLACA - FORNECIMENTO E INSTALAÇÃO. AF_12/2015</t>
  </si>
  <si>
    <t>INTERRUPTOR PARALELO (1 MÓDULO), 10A/250V, INCLUINDO SUPORTE E PLACA - FORNECIMENTO E INSTALAÇÃO. AF_12/2015</t>
  </si>
  <si>
    <t>INTERRUPTOR SIMPLES (1 MÓDULO), 10A/250V, INCLUINDO SUPORTE E PLACA - FORNECIMENTO E INSTALAÇÃO. AF_12/2015</t>
  </si>
  <si>
    <t>FIXAÇÃO DE TUBOS HORIZONTAIS DE PVC, CPVC OU COBRE DIÂMETROS MENORES OU IGUAIS A 40 MM OU ELETROCALHAS ATÉ 150MM DE LARGURA, COM ABRAÇADEIRA METÁLICA RÍGIDA TIPO D 1/2, FIXADA EM PERFILADO EM LAJE. AF_05/2015</t>
  </si>
  <si>
    <t>ELETRODUTO DE AÇO GALVANIZADO, CLASSE SEMI-PESADO, DN 100 MM (4''), APARENTE, INSTALADO EM TETO - FORNECIMENTO E INSTALAÇÃO.</t>
  </si>
  <si>
    <t>ELETRODUTO DE AÇO GALVANIZADO, CLASSE SEMI PESADO, DN 40 MM (1 1/2 ), APARENTE, INSTALADO EM TETO - FORNECIMENTO E INSTALAÇÃO. AF_11/2016_P</t>
  </si>
  <si>
    <t>LUVA DE EMENDA PARA ELETRODUTO, AÇO GALVANIZADO, DN 40 MM (1 1/2''), APARENTE, INSTALADA EM TETO - FORNECIMENTO E INSTALAÇÃO. AF_11/2016_P</t>
  </si>
  <si>
    <t>25MM</t>
  </si>
  <si>
    <t xml:space="preserve">BASEADO NA COMPOSIÇÃO SEINFRA CÓD. C1165 </t>
  </si>
  <si>
    <t>ELETRODUTO FLEXÍVEL LISO, PEAD, DN 50 MM (2"), PARA CIRCUITOS TERMINAIS, INSTALADO EM TETO - FORNECIMENTO E INSTALAÇÃO. AF_12/2015</t>
  </si>
  <si>
    <t>CONECTOR METALICO TIPO PARAFUSO FENDIDO (SPLIT BOLT), COM SEPARADOR DE CABOS BIMETALICOS, PARA CABOS ATE 50 MM2</t>
  </si>
  <si>
    <t>PMA CIV 001</t>
  </si>
  <si>
    <t>PMA CIV 002</t>
  </si>
  <si>
    <t>PMA CIV 006</t>
  </si>
  <si>
    <t>PMA CIV 007</t>
  </si>
  <si>
    <t>PMA CIV 008</t>
  </si>
  <si>
    <t>PMA HID 001</t>
  </si>
  <si>
    <t>PMA HID 002</t>
  </si>
  <si>
    <t>PMA HID 003</t>
  </si>
  <si>
    <t>PMA HID 004</t>
  </si>
  <si>
    <t>PMA HID 005</t>
  </si>
  <si>
    <t>PMA HID 006</t>
  </si>
  <si>
    <t>PMA HID 007</t>
  </si>
  <si>
    <t>PMA HID 008</t>
  </si>
  <si>
    <t>PMA HID 009</t>
  </si>
  <si>
    <t>PMA HID 010</t>
  </si>
  <si>
    <t>PMA HID 011</t>
  </si>
  <si>
    <t>PMA HID 012</t>
  </si>
  <si>
    <t>PMA HID 013</t>
  </si>
  <si>
    <t>PMA HID 014</t>
  </si>
  <si>
    <t>PMA HID 015</t>
  </si>
  <si>
    <t>PMA HID 016</t>
  </si>
  <si>
    <t>PMA HID 017</t>
  </si>
  <si>
    <t>PMA HID 018</t>
  </si>
  <si>
    <t>PMA HID 020</t>
  </si>
  <si>
    <t>PMA ELE 012</t>
  </si>
  <si>
    <t>PMA ELE 011</t>
  </si>
  <si>
    <t>PMA ELE 010</t>
  </si>
  <si>
    <t>PMA ELE 009</t>
  </si>
  <si>
    <t>PMA ELE 008</t>
  </si>
  <si>
    <t>PMA ELE 007</t>
  </si>
  <si>
    <t>PMA ELE 006</t>
  </si>
  <si>
    <t>PMA ELE 005</t>
  </si>
  <si>
    <t>PMA ELE 004</t>
  </si>
  <si>
    <t>PMA ELE 003</t>
  </si>
  <si>
    <t>PMA ELE 002</t>
  </si>
  <si>
    <t>PMA ELE 001</t>
  </si>
  <si>
    <t xml:space="preserve">PROP.: </t>
  </si>
  <si>
    <t>RECURSO:</t>
  </si>
  <si>
    <t>8.4</t>
  </si>
  <si>
    <t>8.5</t>
  </si>
  <si>
    <t>5.1</t>
  </si>
  <si>
    <t>5.5</t>
  </si>
  <si>
    <t>5.6</t>
  </si>
  <si>
    <t>5.7</t>
  </si>
  <si>
    <t>5.8</t>
  </si>
  <si>
    <t>5.9</t>
  </si>
  <si>
    <t>5.10</t>
  </si>
  <si>
    <t>5.11</t>
  </si>
  <si>
    <t>5.12</t>
  </si>
  <si>
    <t>6.6</t>
  </si>
  <si>
    <t>VALOR PARCIAL 
TOTAL</t>
  </si>
  <si>
    <t>PMA ESQ 001</t>
  </si>
  <si>
    <t>PERCENTUAL</t>
  </si>
  <si>
    <t>PMA ELE 013</t>
  </si>
  <si>
    <t>PMA ELE 014</t>
  </si>
  <si>
    <t>PMA ELE 015</t>
  </si>
  <si>
    <t>PMA ELE 016</t>
  </si>
  <si>
    <t xml:space="preserve">ITENS </t>
  </si>
  <si>
    <t>ADMINISTRAÇÃO CENTRAL</t>
  </si>
  <si>
    <t>SEGURO + GARANTIA</t>
  </si>
  <si>
    <t>RISCO</t>
  </si>
  <si>
    <t>DESPESAS FINANCEIRAS</t>
  </si>
  <si>
    <t>LUCRO</t>
  </si>
  <si>
    <t>TRIBUTOS</t>
  </si>
  <si>
    <t>COFINS</t>
  </si>
  <si>
    <t>PIS</t>
  </si>
  <si>
    <t>ISS</t>
  </si>
  <si>
    <t>CPRB</t>
  </si>
  <si>
    <t>CURVA HORIZONTAL 90 GRAUS 100 X 75 MM PARA ELETROCALHA - FORNECIMENTO E INSTALAÇÃO</t>
  </si>
  <si>
    <t>88264</t>
  </si>
  <si>
    <t>BASEADO NA COMPOSIÇÃO SINAPI CÓD. 83377</t>
  </si>
  <si>
    <t>CONECTOR METALICO TIPO PARAFUSO FENDIDO (SPLIT BOLT), COM SEPARADOR DE CABOS BIMETALICOS, PARA CABOS ATE 50 MM2 - FORNECIMENTO E INSTALAÇÃO</t>
  </si>
  <si>
    <t>CONECTOR EM LATÃO TIPO MINIGAR PARA CABOS 16 - 50 MM² (SPDA)</t>
  </si>
  <si>
    <t>BASEADO NA COMPOSIÇÃO ORSE CÓD. 10694</t>
  </si>
  <si>
    <t>101549</t>
  </si>
  <si>
    <t>GRAMPO PARALELO METÁLICO, PARA REDES AÉREAS DE DISTRIBUIÇÃO DE ENERGIA ELÉTRICA DE BAIXA TENSÃO - FORNECIMENTO E INSTALAÇÃO. AF_07/2020</t>
  </si>
  <si>
    <t>1564</t>
  </si>
  <si>
    <t>GRAMPO PARALELO METALICO PARA CABO DE 6 A 50 MM2, COM 2 PARAFUSOS</t>
  </si>
  <si>
    <t>1,0000000</t>
  </si>
  <si>
    <t>88247</t>
  </si>
  <si>
    <t>0,0222644</t>
  </si>
  <si>
    <t>0,2004000</t>
  </si>
  <si>
    <t>12.5</t>
  </si>
  <si>
    <t>12.6</t>
  </si>
  <si>
    <t>12.7</t>
  </si>
  <si>
    <t>12.8</t>
  </si>
  <si>
    <t>12.9</t>
  </si>
  <si>
    <t>12.10</t>
  </si>
  <si>
    <t>12.11</t>
  </si>
  <si>
    <t>12.12</t>
  </si>
  <si>
    <t>12.13</t>
  </si>
  <si>
    <t>12.14</t>
  </si>
  <si>
    <t>12.15</t>
  </si>
  <si>
    <t>12.16</t>
  </si>
  <si>
    <t>12.17</t>
  </si>
  <si>
    <t>12.18</t>
  </si>
  <si>
    <t>12.19</t>
  </si>
  <si>
    <t>13.18</t>
  </si>
  <si>
    <t>13.20</t>
  </si>
  <si>
    <t>13.21</t>
  </si>
  <si>
    <t>13.22</t>
  </si>
  <si>
    <t>13.23</t>
  </si>
  <si>
    <t>13.24</t>
  </si>
  <si>
    <t>13.25</t>
  </si>
  <si>
    <t>13.26</t>
  </si>
  <si>
    <t>13.27</t>
  </si>
  <si>
    <t>13.28</t>
  </si>
  <si>
    <t>13.29</t>
  </si>
  <si>
    <t>13.30</t>
  </si>
  <si>
    <t>13.31</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</si>
  <si>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</si>
  <si>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</si>
  <si>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</si>
  <si>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</si>
  <si>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</si>
  <si>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</si>
  <si>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</si>
  <si>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</si>
  <si>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</si>
  <si>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</si>
  <si>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</si>
  <si>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</si>
  <si>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</si>
  <si>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</si>
  <si>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</si>
  <si>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</si>
  <si>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</si>
  <si>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</si>
  <si>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</si>
  <si>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</si>
  <si>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</si>
  <si>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</si>
  <si>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</si>
  <si>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</si>
  <si>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</si>
  <si>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</si>
  <si>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</si>
  <si>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</si>
  <si>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</si>
  <si>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</si>
  <si>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</si>
  <si>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</si>
  <si>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</si>
  <si>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</si>
  <si>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</si>
  <si>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</si>
  <si>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</si>
  <si>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</si>
  <si>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</si>
  <si>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13.72</t>
  </si>
  <si>
    <t>17.1</t>
  </si>
  <si>
    <t>17.2</t>
  </si>
  <si>
    <t>6.7</t>
  </si>
  <si>
    <t>11.6</t>
  </si>
  <si>
    <t>11.7</t>
  </si>
  <si>
    <t>11.8</t>
  </si>
  <si>
    <t>11.9</t>
  </si>
  <si>
    <t>11.10</t>
  </si>
  <si>
    <t>11.11</t>
  </si>
  <si>
    <t>11.12</t>
  </si>
  <si>
    <t>11.13</t>
  </si>
  <si>
    <t>11.14</t>
  </si>
  <si>
    <t>11.15</t>
  </si>
  <si>
    <t>11.16</t>
  </si>
  <si>
    <t>11.17</t>
  </si>
  <si>
    <t>11.18</t>
  </si>
  <si>
    <t>11.19</t>
  </si>
  <si>
    <t>11.20</t>
  </si>
  <si>
    <t>11.21</t>
  </si>
  <si>
    <t>11.22</t>
  </si>
  <si>
    <t>LIMPEZA FINAL DA OBRA</t>
  </si>
  <si>
    <t>PMA CIV 010</t>
  </si>
  <si>
    <t>BASEADO NA COMPOSIÇÃO SINAPI CÓD. 9537</t>
  </si>
  <si>
    <t>LIMPEZA DE SUPERFÍCIE COM JATO DE ALTA PRESSÃO. AF_04/2019</t>
  </si>
  <si>
    <t>LIMPEZA DE PISO CERÂMICO OU PORCELANATO COM PANO ÚMIDO. AF_04/2019</t>
  </si>
  <si>
    <t>10.23</t>
  </si>
  <si>
    <t>10.24</t>
  </si>
  <si>
    <t>10.25</t>
  </si>
  <si>
    <t>REGULARIZACAO E COMPACTACAO MANUAL DE TERRENO COM SOQUETE</t>
  </si>
  <si>
    <t>BASEADO NA COMPOSIÇÃO SINAPI CÓD. 5622</t>
  </si>
  <si>
    <t>APLICAÇÃO DE FUNDO SELADOR ACRILICO EM PAREDES, UMA DEMÃO. AF_06/2014</t>
  </si>
  <si>
    <t>AJUDANTE DE CARPINTEIRO COM ENCARGOS COMPLEMENTARES</t>
  </si>
  <si>
    <t>MASSA ÚNICA, PARA RECEBIMENTO DE PINTURA, EM ARGAMASSA TRAÇO 1:2:8, PREPARO MECÂNICO COM BETONEIRA 400L, APLICADA MANUALMENTE EM FACES INTERNAS DE PAREDES, ESPESSURA DE 10MM, COM EXECUÇÃO DE TALISCAS. AF_06/2014</t>
  </si>
  <si>
    <t>CHI</t>
  </si>
  <si>
    <t>12.21</t>
  </si>
  <si>
    <t>12.22</t>
  </si>
  <si>
    <t>14.5</t>
  </si>
  <si>
    <t>14.6</t>
  </si>
  <si>
    <t>14.7</t>
  </si>
  <si>
    <t>14.8</t>
  </si>
  <si>
    <t>14.9</t>
  </si>
  <si>
    <t>14.10</t>
  </si>
  <si>
    <t>14.11</t>
  </si>
  <si>
    <t>14.12</t>
  </si>
  <si>
    <t>14.13</t>
  </si>
  <si>
    <t>14.14</t>
  </si>
  <si>
    <t>14.15</t>
  </si>
  <si>
    <t>14.16</t>
  </si>
  <si>
    <t>14.17</t>
  </si>
  <si>
    <t>14.18</t>
  </si>
  <si>
    <t>14.19</t>
  </si>
  <si>
    <t>14.20</t>
  </si>
  <si>
    <t>14.21</t>
  </si>
  <si>
    <t>14.22</t>
  </si>
  <si>
    <t>14.23</t>
  </si>
  <si>
    <t>14.24</t>
  </si>
  <si>
    <t>14.25</t>
  </si>
  <si>
    <t>17.0</t>
  </si>
  <si>
    <t>17.3</t>
  </si>
  <si>
    <t>17.4</t>
  </si>
  <si>
    <t>CALÇADA</t>
  </si>
  <si>
    <t>LAJES</t>
  </si>
  <si>
    <t>VÁCUO</t>
  </si>
  <si>
    <t>AR COMPRIMIDO</t>
  </si>
  <si>
    <t>OXIGÊNIO</t>
  </si>
  <si>
    <t>GLP</t>
  </si>
  <si>
    <t>12.23</t>
  </si>
  <si>
    <t>12.24</t>
  </si>
  <si>
    <t>15.18</t>
  </si>
  <si>
    <t>15.19</t>
  </si>
  <si>
    <t>15.21</t>
  </si>
  <si>
    <t>15.22</t>
  </si>
  <si>
    <t>18.0</t>
  </si>
  <si>
    <t>18.1</t>
  </si>
  <si>
    <t>18.2</t>
  </si>
  <si>
    <t>18.3</t>
  </si>
  <si>
    <t>18.4</t>
  </si>
  <si>
    <t>APLICAÇÃO DE FUNDO SELADOR ACRÍLICO EM TETO, UMA DEMÃO. AF_06/2014</t>
  </si>
  <si>
    <t>9.5</t>
  </si>
  <si>
    <t>9.6</t>
  </si>
  <si>
    <t>9.7</t>
  </si>
  <si>
    <t>FIXAÇÃO DE TUBOS HORIZONTAIS DE PVC, CPVC OU COBRE DIÂMETROS MAIORES QUE 40 MM E MENORES OU IGUAIS A 75 MM COM ABRAÇADEIRA METÁLICA RÍGIDA TIPO D 1 1/2", FIXADA EM PERFILADO EM LAJE. AF_05/2015</t>
  </si>
  <si>
    <t xml:space="preserve">!EM PROCESSO DESATIVACAO! ELETRODUTO EM ACO GALVANIZADO ELETROLITICO, SEMI-PESADO, DIAMETRO 1 1/2", PAREDE DE 1,20 MM                                                                                                                                                                                                                                                                                                                                                                                     </t>
  </si>
  <si>
    <t>FIXAÇÃO DE TUBOS HORIZONTAIS DE PVC, CPVC OU COBRE DIÂMETROS MAIORES QUE 75 MM COM ABRAÇADEIRA METÁLICA RÍGIDA TIPO D 3", FIXADA EM PERFILADO EM LAJE. AF_05/2015AF_05/2015</t>
  </si>
  <si>
    <t>PERFILADO PERFURADO SIMPLES 38 X 38 MM, CHAPA 22</t>
  </si>
  <si>
    <t xml:space="preserve">VIDRACEIRO COM ENCARGOS COMPLEMENTARES </t>
  </si>
  <si>
    <t>SERRA CIRCULAR DE BANCADA COM MOTOR ELÉTRICO POTÊNCIA DE 5HP, COM COIFA PARA DISCO 10" - CHP DIURNO. AF_08/2015</t>
  </si>
  <si>
    <t>SERRA CIRCULAR DE BANCADA COM MOTOR ELÉTRICO POTÊNCIA DE 5HP, COM COIFA PARA DISCO 10" - CHI DIURNO. AF_08/2015</t>
  </si>
  <si>
    <t>BOX FRONTAL DE CORRER, COM VIDRO TEMPERADO 8 MM, 190X100CM, 1 FOLHA FIXA, 1 FOLHA MÓVEL, PERFIS E FERRAGENS EM ALUMÍNIO. AF_01/2021</t>
  </si>
  <si>
    <t>SILICONE ACETICO USO GERAL INCOLOR 280 G</t>
  </si>
  <si>
    <t>BOX FRONTAL DE CORRER, COM VIDRO TEMPERADO 8 MM, 182X144CM, 1 FOLHA FIXA, 1 FOLHA MÓVEL, PERFIS E FERRAGENS EM ALUMÍNIO. AF_01/2021</t>
  </si>
  <si>
    <t>BASEADO NA COMPOSIÇÃO SINAPI/CT CÓD. 102237</t>
  </si>
  <si>
    <t>PMA ESQ 002</t>
  </si>
  <si>
    <t>SELANTE ELASTICO MONOCOMPONENTE A BASE DE POLIURETANO (PU) PARA JUNTAS DIVERSAS</t>
  </si>
  <si>
    <t>310ML</t>
  </si>
  <si>
    <t>BUCHA DE NYLON SEM ABA S10, COM PARAFUSO DE 6,10 X 65 MM EM ACO ZINCADO COM ROSCA SOBERBA, CABECA CHATA E FENDA PHILLIPS</t>
  </si>
  <si>
    <t>GUARNICAO/MOLDURA DE ACABAMENTO PARA ESQUADRIA DE ALUMINIO ANODIZADO NATURAL, PARA 1 FACE</t>
  </si>
  <si>
    <t>PUXADOR PARA PCD, FIXADO NA PORTA - FORNECIMENTO E INSTALAÇÃO. AF_01/2020</t>
  </si>
  <si>
    <t>PORTA DE ALUMÍNIO DE ABRIR COM LAMBRI, COM GUARNIÇÃO, FIXAÇÃO COM PARAFUSOS - FORNECIMENTO E INSTALAÇÃO</t>
  </si>
  <si>
    <t>BASEADO NA COMPOSIÇÃO SINAPI CÓD. 91338</t>
  </si>
  <si>
    <t>PMA ESQ 003</t>
  </si>
  <si>
    <t>PORTA EM ALUMÍNIO DE ABRIR TIPO VENEZIANA COM GUARNIÇÃO, FIXAÇÃO COM PARAFUSOS - FORNECIMENTO E INSTALAÇÃO. AF_12/2019</t>
  </si>
  <si>
    <t xml:space="preserve">BASEADO NA COMPOSIÇÃO SINAPI CÓD. 94805 </t>
  </si>
  <si>
    <t>PMA ESQ 004</t>
  </si>
  <si>
    <t>PORTA DE ABRIR EM ALUMINIO COM DIVISAO HORIZONTAL  PARA VIDROS,  ACABAMENTO ANODIZADO NATURAL, VIDROS INCLUSOS, SEM GUARNICAO/ALIZAR/VISTA , 87 X 210 CM</t>
  </si>
  <si>
    <t>PORTA DE ALUMÍNIO DE ABRIR PARA VIDRO SEM GUARNIÇÃO, 87X210CM, FIXAÇÃO COM PARAFUSOS, INCLUSIVE VIDROS - FORNECIMENTO E INSTALAÇÃO. AF_12/2019</t>
  </si>
  <si>
    <t>60 X 210 CM</t>
  </si>
  <si>
    <t>87 X 210 CM</t>
  </si>
  <si>
    <t>P/ 2 FOLHAS</t>
  </si>
  <si>
    <t>PMA ESQ 005</t>
  </si>
  <si>
    <t>80 X 210 CM</t>
  </si>
  <si>
    <t>ATUALIZAÇÃO DE COEFICIENTES</t>
  </si>
  <si>
    <t>PMA ESQ 006</t>
  </si>
  <si>
    <t>100 X 210 CM</t>
  </si>
  <si>
    <t>PMA ESQ 007</t>
  </si>
  <si>
    <t>BASEADO NA COMPOSIÇÃO SINAPI CÓD. 100702</t>
  </si>
  <si>
    <t>PORTA DE CORRER EM ALUMINIO, COM QUATRO FOLHAS DE VIDRO, INCLUSO VIDRO LISO INCOLOR, FECHADURA E PUXADOR, SEM ALIZAR.</t>
  </si>
  <si>
    <t>PMA ESQ 008</t>
  </si>
  <si>
    <t>PMA ESQ 009</t>
  </si>
  <si>
    <t>PMA ESQ 010</t>
  </si>
  <si>
    <t>PMA ESQ 011</t>
  </si>
  <si>
    <t>PMA ESQ 012</t>
  </si>
  <si>
    <t>PMA ESQ 013</t>
  </si>
  <si>
    <t>PMA ESQ 014</t>
  </si>
  <si>
    <t>PARAFUSO DE ACO ZINCADO COM ROSCA SOBERBA, CABECA CHATA E FENDA SIMPLES, DIAMETRO 4,2 MM, COMPRIMENTO * 32 * MM</t>
  </si>
  <si>
    <t>PMA ESQ 015</t>
  </si>
  <si>
    <t>PMA ESQ 016</t>
  </si>
  <si>
    <t>ARGAMASSA TRAÇO 1:6 (EM VOLUME DE CIMENTO E AREIA MÉDIA ÚMIDA) COM ADIÇÃO DE PLASTIFICANTE PARA EMBOÇO/MASSA ÚNICA/ASSENTAMENTO DE ALVENARIA DE VEDAÇÃO, PREPARO MECÂNICO COM BETONEIRA 400 L. AF_08/2019</t>
  </si>
  <si>
    <t>MARMORISTA/GRANITEIRO COM ENCARGOS COMPLEMENTARES</t>
  </si>
  <si>
    <t>BASEADO NA COMPOSIÇÃO SINAPI CÓD. 94570</t>
  </si>
  <si>
    <t>BASEADO NA COMPOSIÇÃO SINAPI CÓD. 101965</t>
  </si>
  <si>
    <t>PMA ESQ 017</t>
  </si>
  <si>
    <t>PMA ESQ 018</t>
  </si>
  <si>
    <t>PMA ESQ 019</t>
  </si>
  <si>
    <t>COMBATE E PREVENÇÃO A INCÊNDIO</t>
  </si>
  <si>
    <t>COMBATE E PREVENÇÃO A INCÊNCIO</t>
  </si>
  <si>
    <t>PMA ESQ 020</t>
  </si>
  <si>
    <t>18.5</t>
  </si>
  <si>
    <t>18.6</t>
  </si>
  <si>
    <t>19.0</t>
  </si>
  <si>
    <t>19.1</t>
  </si>
  <si>
    <t>19.2</t>
  </si>
  <si>
    <t>19.3</t>
  </si>
  <si>
    <t>19.4</t>
  </si>
  <si>
    <t>16.5</t>
  </si>
  <si>
    <t>PREFEITURA MUNICIPAL DE ARIPUANÃ - MT
DEPARTAMENTO DE ENGENHARIA CIVIL
Praça São Francisco de Assis, 128, Caixa Postal 91 – CEP 78.325-000, 
Aripuanã – MT, Fone : (66) 3565 – 3900
www.aripuana.mt.gov.br</t>
  </si>
  <si>
    <t>TOTAL &gt;&gt;&gt;</t>
  </si>
  <si>
    <t xml:space="preserve">RESUMO </t>
  </si>
  <si>
    <t>210 DIAS</t>
  </si>
  <si>
    <t>TELA FACHADEIRA EM POLIETILENO, ROLO DE 3 X 100 M (L X C), COR BRANCA, SEM LOGOMARCA - PARA PROTECAO DE OBRAS</t>
  </si>
  <si>
    <t>TELA DE NYLON TIPO MOSQUITEIRA PARA CONTROLE DE PRAGAS, COR BRANCA, MOLDURA EM PERFIL DE ALUMÍNIO</t>
  </si>
  <si>
    <t>PMA ESQ 021</t>
  </si>
  <si>
    <t>CARPINTEIRO DE ESQUADRIA COM ENCARGOS COMPLEMENTARES</t>
  </si>
  <si>
    <t>BASEADO NA COMPOSIÇÃO ORSE CÓD. 8970</t>
  </si>
  <si>
    <t xml:space="preserve">TELA DE NYLON TIPO MOSQUITEIRA PARA CONTROLE DE PRAGAS 100 X 80 CM, COR BRANCA, MOLDURA EM PERFIL DE ALUMÍNIO </t>
  </si>
  <si>
    <t xml:space="preserve">TELA DE NYLON TIPO MOSQUITEIRA PARA CONTROLE DE PRAGAS 100 X 100 CM, COR BRANCA, MOLDURA EM PERFIL DE ALUMÍNIO </t>
  </si>
  <si>
    <t>PMA ESQ 022</t>
  </si>
  <si>
    <t xml:space="preserve">TELA DE NYLON TIPO MOSQUITEIRA PARA CONTROLE DE PRAGAS 100 X 120 CM, COR BRANCA, MOLDURA EM PERFIL DE ALUMÍNIO </t>
  </si>
  <si>
    <t>PMA ESQ 023</t>
  </si>
  <si>
    <t xml:space="preserve">TELA DE NYLON TIPO MOSQUITEIRA PARA CONTROLE DE PRAGAS 100 X 150 CM, COR BRANCA, MOLDURA EM PERFIL DE ALUMÍNIO </t>
  </si>
  <si>
    <t>PMA ESQ 024</t>
  </si>
  <si>
    <t xml:space="preserve">TELA DE NYLON TIPO MOSQUITEIRA PARA CONTROLE DE PRAGAS 100 X 200 CM, COR BRANCA, MOLDURA EM PERFIL DE ALUMÍNIO </t>
  </si>
  <si>
    <t>JC4 E JEX</t>
  </si>
  <si>
    <t>PMA ELE 017</t>
  </si>
  <si>
    <t xml:space="preserve">PRESILHA DE ALUMÍNIO PARA CABO 50MM² </t>
  </si>
  <si>
    <t>CÓD. SINAPI / COMPOSIÇÃO</t>
  </si>
  <si>
    <t>4*5</t>
  </si>
  <si>
    <t>4*4</t>
  </si>
  <si>
    <t>2*1,5</t>
  </si>
  <si>
    <t>4horas*210dias</t>
  </si>
  <si>
    <t>8horas*210dias</t>
  </si>
  <si>
    <t>VIGIA NOTURNO COM ENCARGOS COMPLEMENTARES</t>
  </si>
  <si>
    <t>ENCARREGADO GERAL COM ENCARGOS COMPLEMENTARES</t>
  </si>
  <si>
    <t>EXECUÇÃO DE DEPÓSITO EM CANTEIRO DE OBRA EM CHAPA DE MADEIRA COMPENSADA, NÃO INCLUSO MOBILIÁRIO. AF_04/2016</t>
  </si>
  <si>
    <t>EXECUÇÃO DE ESCRITÓRIO EM CANTEIRO DE OBRA EM CHAPA DE MADEIRA COMPENSADA, NÃO INCLUSO MOBILIÁRIO E EQUIPAMENTOS. AF_02/2016</t>
  </si>
  <si>
    <t>EXECUÇÃO DE SANITÁRIO E VESTIÁRIO EM CANTEIRO DE OBRA EM CHAPA DE MADEIRA COMPENSADA, NÃO INCLUSO MOBILIÁRIO. AF_02/2016</t>
  </si>
  <si>
    <t>TOTAL DO ITEM 1.0</t>
  </si>
  <si>
    <t>TOTAL DO ITEM 2.0</t>
  </si>
  <si>
    <t>TOTAL DO ITEM 3.0</t>
  </si>
  <si>
    <t>17 unidades * 2,10 * 0,90</t>
  </si>
  <si>
    <t>29 unidades * 1,20 * 1,00</t>
  </si>
  <si>
    <t>Área coberta da edificação</t>
  </si>
  <si>
    <t>Área com forro da edificação</t>
  </si>
  <si>
    <t>REMOÇÃO DE FORROS DE PVC, DE FORMA MANUAL, SEM REAPROVEITAMENTO. AF_12/2017</t>
  </si>
  <si>
    <t>REMOÇÃO DE TRAMA DE MADEIRA PARA FORRO, DE FORMA MANUAL, SEM REAPROVEITAMENTO. AF_12/2017</t>
  </si>
  <si>
    <t>REMOÇÃO DE TELHAS DE FIBROCIMENTO, DE FORMA MANUAL, SEM REAPROVEITAMENTO. AF_12/2017</t>
  </si>
  <si>
    <t>Dados coletados do projeto elétrico da unidade atual (50+6+20+2)</t>
  </si>
  <si>
    <t>Dados coletados do projeto elétrico da unidade atual (1422,36+344)</t>
  </si>
  <si>
    <t>Dados coletados da planilha orçamentária da unidade atual (404,97m² de alvenaria*0,25m espessura)</t>
  </si>
  <si>
    <t>ALVENARIA DE VEDAÇÃO DE BLOCOS CERÂMICOS FURADOS NA HORIZONTAL DE 9X19X19 CM (ESPESSURA 9 CM) E ARGAMASSA DE ASSENTAMENTO COM PREPARO EM BETONEIRA. AF_12/2021</t>
  </si>
  <si>
    <t>SOLEIRA EM GRANITO, LARGURA 15 CM, ESPESSURA 2,0 CM. AF_09/2020</t>
  </si>
  <si>
    <t>SERRALHEIRO COM ENCARGOS COMPLEMENTARES</t>
  </si>
  <si>
    <t>VIDRO TEMPERADO INCOLOR E = 8 MM, SEM COLOCACAO</t>
  </si>
  <si>
    <t>6.8</t>
  </si>
  <si>
    <t>5.14</t>
  </si>
  <si>
    <t>COT 001</t>
  </si>
  <si>
    <t>COT 002</t>
  </si>
  <si>
    <t>COT 003</t>
  </si>
  <si>
    <t>CUSTO UNIT</t>
  </si>
  <si>
    <t>CÓDIGO</t>
  </si>
  <si>
    <t>COTAÇÃO DE PREÇOS</t>
  </si>
  <si>
    <t>MEDIANA</t>
  </si>
  <si>
    <t>COT 004</t>
  </si>
  <si>
    <t>COT 005</t>
  </si>
  <si>
    <t>COT 006</t>
  </si>
  <si>
    <t>COT 007</t>
  </si>
  <si>
    <t>COT 008</t>
  </si>
  <si>
    <t>COT 009</t>
  </si>
  <si>
    <t>COT 016</t>
  </si>
  <si>
    <t>COT 017</t>
  </si>
  <si>
    <t>COT 018</t>
  </si>
  <si>
    <t>COT 019</t>
  </si>
  <si>
    <t>COT 020</t>
  </si>
  <si>
    <t>3.15</t>
  </si>
  <si>
    <t>CARGA, MANOBRA E DESCARGA DE ENTULHO EM CAMINHÃO BASCULANTE 6 M³ - CARGA COM ESCAVADEIRA HIDRÁULICA (CAÇAMBA DE 0,80 M³ / 111 HP) E DESCARGA LIVRE. AF_07/2020 m³</t>
  </si>
  <si>
    <t>vol de alvenaria + vol estrutural + (10cm * área edificação) + 50% empolamento</t>
  </si>
  <si>
    <t>3.16</t>
  </si>
  <si>
    <t>M3xKM</t>
  </si>
  <si>
    <t>vol de entulho * distância</t>
  </si>
  <si>
    <t>TRANSPORTE COM CAMINHÃO BASCULANTE DE 6 M³, EM VIA URBANA LEITO NATURAL (8KM). AF_07/2020</t>
  </si>
  <si>
    <t>Dados coletados da planilha orçamentária da UBS atual (10,74)</t>
  </si>
  <si>
    <t>Dados coletados da planilha orçamentária da UBS atual (232,71)</t>
  </si>
  <si>
    <t>Dados coletados da planilha orçamentária da UBS atual (163,01)</t>
  </si>
  <si>
    <t>RODAPÉ EM PORCELANATO DE 10CM DE ALTURA, COM PLACAS DE DIMENSÕES 60X60CM (SEM RELEVO) - FORNECIMENTO E INSTALAÇÃO</t>
  </si>
  <si>
    <t>VIVEIRO E FLORICULTURA BEIJA-FLOR</t>
  </si>
  <si>
    <t>PLANTIO DE GRAMA ESMERALDA EM PLACAS, INCLUSIVE TRANSPORTE.</t>
  </si>
  <si>
    <t>AGROGRAMAS</t>
  </si>
  <si>
    <t>PANTANAL GRAMAS</t>
  </si>
  <si>
    <t>35.194.081/0001-92</t>
  </si>
  <si>
    <t>11.710.486/0001.78</t>
  </si>
  <si>
    <t>04.006.365/0001-84</t>
  </si>
  <si>
    <t>12horas*210dias</t>
  </si>
  <si>
    <t>PMA CIV 003</t>
  </si>
  <si>
    <t>291,03*0,05</t>
  </si>
  <si>
    <t>0,4*74,51*2</t>
  </si>
  <si>
    <t>pilares(38un)*(14cm*26cm)*2,40m</t>
  </si>
  <si>
    <t>cobrimento=2,5cm e 10% de perda
(21cm+21cm+18cm+10cm)*((38*2,8)/0,2)*0,154kg/m)</t>
  </si>
  <si>
    <t>ESCAVAÇÃO MANUAL DE VALA PARA VIGA BALDRAME (INCLUINDO ESCAVAÇÃO PARA COLOCAÇÃO DE FÔRMAS). AF_06/2017</t>
  </si>
  <si>
    <t>(10cm+10cm+20cm)*40cm*extensãodo muro(37,72+9,55+19,16+(4,04*2))</t>
  </si>
  <si>
    <t>20cm*40cm*extensãodo muro(74,51)</t>
  </si>
  <si>
    <t>40cm*2cm*74,51m</t>
  </si>
  <si>
    <t>LASTRO DE CONCRETO MAGRO (2CM), APLICADO EM PISOS, LAJES SOBRE SOLO OU RADIERS. AF_08/2017</t>
  </si>
  <si>
    <t>cobrimento=2,5cm e 10% de perda
35cm+35cm+30cm+10cm*(extensão do muro/0,2)*0,154kg/m</t>
  </si>
  <si>
    <t>VIGA DE RESPALDO</t>
  </si>
  <si>
    <t>14cm*14cm*74,51m</t>
  </si>
  <si>
    <t>FABRICAÇÃO, MONTAGEM E DESMONTAGEM DE FÔRMA PARA VIGA BALDRAME, EM MADEIRA SERRADA, E=25 MM, 4 UTILIZAÇÕES. AF_06/2017</t>
  </si>
  <si>
    <t>ARMAÇÃO DE BLOCO, VIGA BALDRAME E SAPATA UTILIZANDO AÇO CA-60 DE 5 MM - MONTAGEM. AF_06/2017</t>
  </si>
  <si>
    <t>MONTAGEM E DESMONTAGEM DE FÔRMA DE PILARES RETANGULARES E ESTRUTURAS SIMILARES, PÉ-DIREITO SIMPLES, EM CHAPA DE MADEIRA COMPENSADA RESINADA, 8 UTILIZAÇÕES. AF_09/2020</t>
  </si>
  <si>
    <t>38*(2,4m+0,4m)*4vergalhões*0,395kg/m +10%perda</t>
  </si>
  <si>
    <t>MONTAGEM E DESMONTAGEM DE FÔRMA DE VIGA, ESCORAMENTO METÁLICO, PÉ-DIREITO SIMPLES, EM CHAPA DE MADEIRA PLASTIFICADA, 14 UTILIZAÇÕES. AF_09/2020</t>
  </si>
  <si>
    <t>2*0,4(altura)*74,51(extensão) +10%perda</t>
  </si>
  <si>
    <t>38un*(perímetro da seção)*altura(2,4m) +10%perda</t>
  </si>
  <si>
    <t>3*14cm*74,51 +10%perda</t>
  </si>
  <si>
    <t>extensão do muro(74,51)*4vergalhões*0,395kg/m + 10%perda</t>
  </si>
  <si>
    <t>cobrimento=2,5cm e 10% de perda
4*9cm+10cm*(extensão do muro/0,2)*0,154kg/m</t>
  </si>
  <si>
    <t>CHAPISCO APLICADO EM ALVENARIA (COM PRESENÇA DE VÃOS) E ESTRUTURAS DE CONCRETO DE FACHADA, COM COLHER DE PEDREIRO. ARGAMASSA TRAÇO 1:3 COM PREPARO EM BETONEIRA 400L. AF_06/2014</t>
  </si>
  <si>
    <t>área de alvenaria * 2faces</t>
  </si>
  <si>
    <t>TEXTURA ACRÍLICA, APLICAÇÃO MANUAL EM PAREDE, UMA DEMÃO. AF_09/2016</t>
  </si>
  <si>
    <t>IMPERMEABILIZAÇÃO DE SUPERFÍCIE COM EMULSÃO ASFÁLTICA, 2 DEMÃOS AF_06/2018</t>
  </si>
  <si>
    <t>LASTRO COM MATERIAL GRANULAR, APLICADO EM PISOS OU LAJES SOBRE SOLO, ESPESSURA DE 3CM</t>
  </si>
  <si>
    <t>EXECUÇÃO DE PASSEIO (CALÇADA) OU PISO DE CONCRETO COM CONCRETO MOLDADO IN LOCO, FEITO EM OBRA, ACABAMENTO CONVENCIONAL, ESPESSURA 6 CM, ARMADO. AF_07/2016</t>
  </si>
  <si>
    <t>EXECUÇÃO DE PASSEIO (CALÇADA) OU PISO DE CONCRETO COM CONCRETO MOLDADO IN LOCO, FEITO EM OBRA, ACABAMENTO CONVENCIONAL, NÃO ARMADO. AF_07/2016</t>
  </si>
  <si>
    <t>PINTURA DE PISO COM TINTA ACRÍLICA, APLICAÇÃO MANUAL, 2 DEMÃOS, INCLUSO FUNDO PREPARADOR. AF_05/2021</t>
  </si>
  <si>
    <t>piso externo para entrada de ambulância (51,66m²)</t>
  </si>
  <si>
    <t>área de piso (430,67m²)*espessura (3cm)</t>
  </si>
  <si>
    <t>área externa total</t>
  </si>
  <si>
    <t>APLICAÇÃO DE LONA PLÁSTICA PARA EXECUÇÃO DE PAVIMENTOS DE CONCRETO (REUTILIZÁVEL)</t>
  </si>
  <si>
    <t>utilizar para a proteção de todos os pisos, quantificado pela maior área: interna (488,9m²)</t>
  </si>
  <si>
    <t>TELHAMENTO COM TELHA METÁLICA TERMOACÚSTICA E = 30 MM, COM ATÉ 2 ÁGUAS, INCLUSO IÇAMENTO. AF_07/2019</t>
  </si>
  <si>
    <t>PMA CIV 005</t>
  </si>
  <si>
    <t>TELHAMENTO COM TELHA DE AÇO/ALUMÍNIO E = 0,5 MM, COM ATÉ 2 ÁGUAS, INCLUSO IÇAMENTO. AF_07/2019</t>
  </si>
  <si>
    <t>FORRO EM DRYWALL, PARA AMBIENTES COMERCIAIS, INCLUSIVE ESTRUTURA DE FIXAÇÃO. AF_05/2017</t>
  </si>
  <si>
    <t>PERFIL TABICA ABERTA, PERFURADA, FORMATO Z, EM ACO GALVANIZADO NATURAL, LARGURA APROXIMADA 40 MM, PARA ESTRUTURA FORRO DRYWALL</t>
  </si>
  <si>
    <t>7.3</t>
  </si>
  <si>
    <t>(COMPOSIÇÃO REPRESENTATIVA) DO SERVIÇO DE CONTRAPISO EM ARGAMASSA TRAÇO 1:4 (CIMENTO/AREIA), EM BETONEIRA 400 L, ESPESSURA 3 CM ÁREAS SECAS E ÁREAS MOLHADAS, PARA EDIFICAÇÃO  PÚBLICA PADRÃO. AF_11/2014</t>
  </si>
  <si>
    <t>IMPERMEABILIZAÇÃO DE SUPERFÍCIE COM ARGAMASSA POLIMÉRICA/MEMBRANA ACRÍLICA, 3 DEMÃOS. AF_06/2018</t>
  </si>
  <si>
    <t>4,98+7,45+7,22+13,86+11,69+4,98+31,52+7,91+49,27+26,16+19,2+20,42+15,02+11,83+8,8+22,05+12,44+18,33+8,58+7,75+24,54+13,37+18,57+9,76+11,82+13,66+15,3+18,16+17,22+10,85+12,09+6,86+6,86+9+8,99</t>
  </si>
  <si>
    <t>RODAPÉ EM PORCELANATO ALTURA 10CM (EMBUTIDO)</t>
  </si>
  <si>
    <t>APLICAÇÃO MANUAL DE PINTURA COM TINTA TEXTURIZADA ACRÍLICA EM PAREDES EXTERNAS DE CASAS, DUAS CORES. AF_06/2014</t>
  </si>
  <si>
    <t>74,51metros*2,40metros - aberturas(5*3*1,65)</t>
  </si>
  <si>
    <t>20.0</t>
  </si>
  <si>
    <t>19.5</t>
  </si>
  <si>
    <t>19.6</t>
  </si>
  <si>
    <t>19.7</t>
  </si>
  <si>
    <t>19.8</t>
  </si>
  <si>
    <t>19.9</t>
  </si>
  <si>
    <t>19.10</t>
  </si>
  <si>
    <t>19.11</t>
  </si>
  <si>
    <t>19.12</t>
  </si>
  <si>
    <t>19.13</t>
  </si>
  <si>
    <t>19.14</t>
  </si>
  <si>
    <t>19.15</t>
  </si>
  <si>
    <t>19.16</t>
  </si>
  <si>
    <t>19.17</t>
  </si>
  <si>
    <t>19.18</t>
  </si>
  <si>
    <t>19.19</t>
  </si>
  <si>
    <t>20.1</t>
  </si>
  <si>
    <t>20.2</t>
  </si>
  <si>
    <t>20.3</t>
  </si>
  <si>
    <t>20.4</t>
  </si>
  <si>
    <t>CAIXA DE PASSAGEM PARA TELEFONE 15X15X10CM (SOBREPOR), FORNECIMENTO E INSTALACAO. AF_11/2019</t>
  </si>
  <si>
    <t>PMA CIV 004</t>
  </si>
  <si>
    <t>CAIXA DE PASSAGEM METALICA DE SOBREPOR COM TAMPA PARAFUSADA, DIMENSOES 20 X 20 X 10 CM</t>
  </si>
  <si>
    <t>CAIXA DE PASSAGEM PARA TELEFONE 20X20X10CM (SOBREPOR), FORNECIMENTO E INSTALACAO. AF_11/2019</t>
  </si>
  <si>
    <t>BUCHA EM ALUMINIO, COM ROSCA, DE 2", PARA ELETRODUTO</t>
  </si>
  <si>
    <t xml:space="preserve">BUCHA EM ALUMINIO, COM ROSCA, DE 1", PARA ELETRODUTO </t>
  </si>
  <si>
    <t>BASEADO NA COMPOSIÇÃO SINAPI CÓD. 100556</t>
  </si>
  <si>
    <t>CONECTOR RETO DE ALUMINIO PARA ELETRODUTO DE 2", PARA ADAPTAR ENTRADA DE ELETRODUTO METALICO EM QUADROS</t>
  </si>
  <si>
    <t>AR CONDICIONADO SPLIT INVERTER, HI-WALL (PAREDE), 9000 BTU/H, CICLO FRIO - FORNECIMENTO E INSTALAÇÃO. AF_11/2021_P</t>
  </si>
  <si>
    <t>AR CONDICIONADO SPLIT INVERTER, HI-WALL (PAREDE), 12000 BTU/H, CICLO FRIO - FORNECIMENTO E INSTALAÇÃO. AF_11/2021_P</t>
  </si>
  <si>
    <t>AR CONDICIONADO SPLIT INVERTER, HI-WALL (PAREDE), 18000 BTU/H, CICLO FRIO - FORNECIMENTO E INSTALAÇÃO. AF_11/2021_P</t>
  </si>
  <si>
    <t>AR CONDICIONADO SPLIT INVERTER, HI-WALL (PAREDE), 24000 BTU/H, CICLO FRIO - FORNECIMENTO E INSTALAÇÃO. AF_11/2021_P</t>
  </si>
  <si>
    <t>1(FXAQ20PVE)+1(FXAQ20PVE)</t>
  </si>
  <si>
    <t>3(FXAQ32PVE)</t>
  </si>
  <si>
    <t>CLIMATIZAÇÃO</t>
  </si>
  <si>
    <t>1(FXAQ63PVE)</t>
  </si>
  <si>
    <t>4(FXAQ40PVE)+12(FXAQ50PVE)+2(FXHQ100MAVE÷2)</t>
  </si>
  <si>
    <t>TUBO, PVC, SOLDÁVEL, DN 25MM, INSTALADO EM DRENO DE AR-CONDICIONADO - FORNECIMENTO E INSTALAÇÃO. AF_12/2014</t>
  </si>
  <si>
    <t>24 * 5 METROS</t>
  </si>
  <si>
    <t>PLACA DE SINALIZACAO DE SEGURANCA CONTRA INCENDIO, FOTOLUMINESCENTE, RETANGULAR, *20 X 40* CM, EM PVC *2* MM ANTI-CHAMAS (SIMBOLOS, CORES E PICTOGRAMAS CONFORME NBR 16820)</t>
  </si>
  <si>
    <t>EXTINTOR DE INCÊNDIO PORTÁTIL COM CARGA DE ÁGUA PRESSURIZADA DE 10 L, CLASSE A - FORNECIMENTO E INSTALAÇÃO. AF_10/2020_P</t>
  </si>
  <si>
    <t>EXTINTOR DE INCÊNDIO PORTÁTIL COM CARGA DE CO2 DE 6 KG, CLASSE BC - FORNECIMENTO E INSTALAÇÃO. AF_10/2020_P</t>
  </si>
  <si>
    <t>EXTINTOR DE INCÊNDIO PORTÁTIL COM CARGA DE PQS DE 4 KG, CLASSE BC - FORNECIMENTO E INSTALAÇÃO. AF_10/2020_P</t>
  </si>
  <si>
    <t>((23,47+46,63+10,72+9,1+2,95)*3,2)-((8*0,9*2,1)+(2,1*2,1)+(3,2*2,1))</t>
  </si>
  <si>
    <t>(5,77+(3,52*5)+(2,86*2)+62,27+(3,15*3)+5,45+9,70+(6,29*2)+7,83+(4*2)+3,65+10,32+1,3+10,38+14,58+5,6+4+2,94+2,15+1,84+3,57+(4*4,75)+(2*6,28)+(2*2,48)+6,22+3,95+4,24+2,33+1,58)*3,2) - esquadrias(93,52m²)</t>
  </si>
  <si>
    <t>VERGA MOLDADA IN LOCO EM CONCRETO PARA JANELAS COM MAIS DE 1,5 M DE VÃO. AF_03/2016</t>
  </si>
  <si>
    <t>CONTRAVERGA MOLDADA IN LOCO EM CONCRETO PARA VÃOS DE MAIS DE 1,5 M DE COMPRIMENTO. AF_03/2016</t>
  </si>
  <si>
    <t>(1,5m) + (45cm) de cada lado * (26) janelas</t>
  </si>
  <si>
    <t>ok</t>
  </si>
  <si>
    <t>ALVENARIA DE VEDAÇÃO DE BLOCOS CERÂMICOS FURADOS NA VERTICAL DE 19X19X39 CM (ESPESSURA 19 CM) E ARGAMASSA DE ASSENTAMENTO COM PREPARO EM BETONEIRA. AF_12/2021</t>
  </si>
  <si>
    <t>GUARNICAO / MOLDURA / ARREMATE DE ACABAMENTO PARA ESQUADRIA, EM ALUMINIO PERFIL 25, ACABAMENTO ANODIZADO BRANCO OU BRILHANTE, PARA 1 FACE</t>
  </si>
  <si>
    <t>TELA DE ARAME ONDULADA, FIO *2,77* MM (12 BWG), MALHA 5 X 5 CM, H = 2 M</t>
  </si>
  <si>
    <t>PORTA DE CORRER EM ALUMINIO, DUAS FOLHAS MOVEIS COM VIDRO, FECHADURA E PUXADOR EMBUTIDO, ACABAMENTO ANODIZADO NATURAL, SEM GUARNICAO/ALIZAR/VISTA</t>
  </si>
  <si>
    <t>cotação</t>
  </si>
  <si>
    <t>CHUVEIRO COMUM EM PLASTICO BRANCO, COM CANO, 3 TEMPERATURAS, 5500W (110/220 V)</t>
  </si>
  <si>
    <t>RALO SIFONADO QUADRADO, PVC, 100 MM X 53 MM, SAIDA 40 MM, COM GRELHA QUADRADA BRANCA</t>
  </si>
  <si>
    <t>SUPORTE MAO-FRANCESA EM ACO, ABAS IGUAIS 40 CM, CAPACIDADE MINIMA 70 KG, BRANCO</t>
  </si>
  <si>
    <t>JOELHO PVC, SOLDAVEL, 90 GRAUS, 32 MM, PARA AGUA FRIA PREDIAL</t>
  </si>
  <si>
    <t>JOELHO PVC, SOLDAVEL, 90 GRAUS, 50 MM, PARA AGUA FRIA PREDIAL</t>
  </si>
  <si>
    <t>CAIXA DE PASSAGEM METALICA DE SOBREPOR COM TAMPA PARAFUSADA, DIMENSOES 30 X 30 X 10 CM</t>
  </si>
  <si>
    <t>CAIXA DE PASSAGEM METÁLICA 30X30X12 COM TAMPA (SOBREPOR)  - FORNECIMENTO E INSTALAÇÃO</t>
  </si>
  <si>
    <t>OK</t>
  </si>
  <si>
    <t>BUCHA EM ALUMINIO, COM ROSCA, DE 3/4", PARA ELETRODUTO - FORNECIMENTO E INSTALAÇÃO</t>
  </si>
  <si>
    <t>BASEADO NA COMPOSIÇÃO SINAPI CÓD. 95753</t>
  </si>
  <si>
    <t>CONECTOR RETO DE ALUMINIO PARA ELETRODUTO DE 3/4", PARA ADAPTAR ENTRADA DE ELETRODUTO METALICO FLEXIVEL EM QUADROS - FORNECIMENTO E INSTALAÇÃO</t>
  </si>
  <si>
    <t xml:space="preserve">CONECTOR RETO DE ALUMINIO PARA ELETRODUTO DE 3/4", PARA ADAPTAR ENTRADA DE ELETRODUTO METALICO FLEXIVEL EM QUADROS </t>
  </si>
  <si>
    <t xml:space="preserve">SINAPI JUN/2022 (DESONERADA)                                      </t>
  </si>
  <si>
    <t>1,8*2,5</t>
  </si>
  <si>
    <t>CHUVEIRO COMUM EM PLASTICO BRANCO, COM CANO, 3 TEMPERATURAS - FORNECIMENTO E INSTALAÇÃO. AF_01/2020</t>
  </si>
  <si>
    <t>RALO SIFONADO QUADRADO, PVC, 100 X 53 MM, SAIDA 40 MM, COM GRELHA QUADRADA BRANCA - FORNECIMENTO E INSTALAÇÃO</t>
  </si>
  <si>
    <t>BUCHA DE REDUÇÃO, CURTA, PVC, SOLDÁVEL, DN 32 X 25 MM, INSTALADO EM RAMAL OU SUB-RAMAL DE ÁGUA - FORNECIMENTO E INSTALAÇÃO. AF_06/2022</t>
  </si>
  <si>
    <t>TÊ DE REDUÇÃO, PVC, SOLDÁVEL, DN 40 MM X 32 MM, INSTALADO EM RESERVAÇÃO DE ÁGUA DE EDIFICAÇÃO QUE POSSUA RESERVATÓRIO DE FIBRA/FIBROCIMENTO   FORNECIMENTO E INSTALAÇÃO. AF_06/2016</t>
  </si>
  <si>
    <t xml:space="preserve">FORNECIMENTO E INSTALAÇÃO DE PAINEL DE ALARME DE PRESSÃO DE GASES - OXIGÊNIO, AR COMPRIMIDO E VÁCUO </t>
  </si>
  <si>
    <t>BUCHA DE NYLON SEM ABA S6, COM PARAFUSO DE 4,20 X 40 MM EM ACO ZINCADO COM ROSCA SOBERBA, CABECA CHATA E FENDA PHILLIPS</t>
  </si>
  <si>
    <t>PAINEL DE ALARME DE PRESSÃO DE GASES</t>
  </si>
  <si>
    <t>BASEADO NA COMPOSIÇÃO SINAPI CÓD. 102136</t>
  </si>
  <si>
    <t>TUBO EM COBRE RÍGIDO, DN 15 MM, CLASSE A, SEM ISOLAMENTO, INSTALADO EM RAMAL E SUB-RAMAL DE GÁS MEDICINAL - FORNECIMENTO E INSTALAÇÃO. AF_04/2022</t>
  </si>
  <si>
    <t>TUBO EM COBRE RÍGIDO, DN 22 MM, CLASSE A, SEM ISOLAMENTO, INSTALADO EM RAMAL E SUB-RAMAL DE GÁS MEDICINAL - FORNECIMENTO E INSTALAÇÃO. AF_04/2022</t>
  </si>
  <si>
    <t>TÊ EM COBRE, DN 22 MM, SEM ANEL DE SOLDA, INSTALADO EM RAMAL E SUB-RAMAL DE GÁS MEDICINAL - FORNECIMENTO E INSTALAÇÃO. AF_04/2022</t>
  </si>
  <si>
    <t>TÊ EM COBRE, DN 15 MM, SEM ANEL DE SOLDA, INSTALADO EM RAMAL E SUB-RAMAL DE GÁS MEDICINAL - FORNECIMENTO E INSTALAÇÃO. AF_04/2022</t>
  </si>
  <si>
    <t>COTOVELO EM COBRE, DN 15 MM, 90 GRAUS, SEM ANEL DE SOLDA, INSTALADO EM RAMAL E SUB-RAMAL DE GÁS MEDICINAL - FORNECIMENTO E INSTALAÇÃO. AF_04/2022</t>
  </si>
  <si>
    <t>COTOVELO EM COBRE, DN 22 MM, 90 GRAUS, SEM ANEL DE SOLDA, INSTALADO EM RAMAL E SUB-RAMAL DE GÁS MEDICINAL - FORNECIMENTO E INSTALAÇÃO. AF_04/2022</t>
  </si>
  <si>
    <t>BUCHA DE REDUÇÃO EM COBRE, DN 22 MM X 15 MM, SEM ANEL DE SOLDA, PONTA X BOLSA, INSTALADO EM RAMAL E SUB-RAMAL DE GÁS MEDICINAL - FORNECIMENTO E INSTALAÇÃO. AF_04/2022</t>
  </si>
  <si>
    <t>VÁLVULA DE ESFERA BRUTA, BRONZE, ROSCÁVEL, 3/4'' - FORNECIMENTO E INSTALAÇÃO. AF_08/2021</t>
  </si>
  <si>
    <t>REDE DE GASES</t>
  </si>
  <si>
    <t>RASGO EM CONTRAPISO PARA RAMAIS/ DISTRIBUIÇÃO COM DIÂMETROS MENORES OU IGUAIS A 40 MM. AF_05/2015</t>
  </si>
  <si>
    <t>CHUMBAMENTO LINEAR EM CONTRAPISO PARA RAMAIS/DISTRIBUIÇÃO COM DIÂMETROS MENORES OU IGUAIS A 40 MM. AF_05/2015</t>
  </si>
  <si>
    <t>CABO TELEFÔNICO CCI-50 1 PAR, SEM BLINDAGEM, INSTALADO EM DISTRIBUIÇÃO DE EDIFICAÇÃO INSTITUCIONAL - FORNECIMENTO E INSTALAÇÃO. AF_11/2019</t>
  </si>
  <si>
    <t>ELETROCALHA LISA OU PERFURADA EM AÇO GALVANIZADO, LARGURA 75MM E ALTURA 50MM, INCLUSIVE EMENDA E FIXAÇÃO - FORNECIMENTO E INSTALAÇÃO. AF_09/2016</t>
  </si>
  <si>
    <t>COTOVELO RETO 90º PARA ELETROCALHA, LISA OU PERFURADA EM AÇO GALVANIZADO, LARGURA DE 75MM E ALTURA DE 50MM - FORNECIMENTO E INSTALAÇÃO. AF_09/2016</t>
  </si>
  <si>
    <t>TÊ HORIZONTAL 90º, PARA ELETROCALHA, LISA OU PERFURADA EM AÇO GALVANIZADO, LARGURA DE 75MM E ALTURA DE 50MM - FORNECIMENTO E INSTALAÇÃO. AF_09/2016</t>
  </si>
  <si>
    <t>PATCH PANEL 24 PORTAS, CATEGORIA 6 - FORNECIMENTO E INSTALAÇÃO. AF_11/2019</t>
  </si>
  <si>
    <t>RACK FECHADO PARA SERVIDOR - FORNECIMENTO E INSTALAÇÃO. AF_11/2019</t>
  </si>
  <si>
    <t>PATCH CORD (CABO DE REDE), CATEGORIA 6 (CAT 6) UTP, 23 AWG, 4 PARES, EXTENSAO DE 1,50 M</t>
  </si>
  <si>
    <t>PERFILADOS CHAPA DE AÇO (38X38)MM - FORNECIMENTO E INSTALAÇÃO</t>
  </si>
  <si>
    <t>PERFILADO GALVANIZADO LISO (38X38)MM - FORNECIMENTO E INSTALAÇÃO</t>
  </si>
  <si>
    <t>ARRUELA EM ALUMINIO, COM ROSCA, DE 1", PARA FIXAÇÃO DE ELETRODUTO EM ELETROCALHA</t>
  </si>
  <si>
    <t>ARRUELA EM ALUMINIO, COM ROSCA, DE 2", PARA FIXAÇÃO DE ELETRODUTO EM ELETROCALHA</t>
  </si>
  <si>
    <t>PRANCHA DE-I726418001-0000ARQ0641</t>
  </si>
  <si>
    <t>ELETRODUTO RÍGIDO ROSCÁVEL, PVC, DN 32 MM (1"), PARA CIRCUITOS TERMINAIS, INSTALADO EM FORRO - FORNECIMENTO E INSTALAÇÃO. AF_12/2015</t>
  </si>
  <si>
    <t>ELETRODUTO RÍGIDO ROSCÁVEL, PVC, DN 60 MM (2"), PARA REDE ENTERRADA DE DISTRIBUIÇÃO DE ENERGIA ELÉTRICA - FORNECIMENTO E INSTALAÇÃO. AF_12/2021</t>
  </si>
  <si>
    <t>LUVA PARA ELETRODUTO, PVC, ROSCÁVEL, DN 32 MM (1"), PARA CIRCUITOS TERMINAIS, INSTALADA EM FORRO - FORNECIMENTO E INSTALAÇÃO. AF_12/2015</t>
  </si>
  <si>
    <t>LUVA PARA ELETRODUTO, PVC, ROSCÁVEL, DN 60 MM (2"), PARA REDE ENTERRADA DE DISTRIBUIÇÃO DE ENERGIA ELÉTRICA - FORNECIMENTO E INSTALAÇÃO. AF_12/2021</t>
  </si>
  <si>
    <t>CONECTOR RETO DE ALUMINIO PARA ELETRODUTO DE 1", PARA ADAPTAR ENTRADA DE ELETRODUTO METALICO FLEXIVEL EM QUADROS</t>
  </si>
  <si>
    <t>15.13</t>
  </si>
  <si>
    <t>CABO ELETRÔNICO CATEGORIA 6, INSTALADO EM EDIFICAÇÃO INSTITUCIONAL - FORNECIMENTO E INSTALAÇÃO. AF_11/2019</t>
  </si>
  <si>
    <t>ARMAÇÃO DE PILAR OU VIGA DE ESTRUTURA CONVENCIONAL DE CONCRETO ARMADO UTILIZANDO AÇO CA-60 DE 5,0 MM - MONTAGEM. AF_06/2022</t>
  </si>
  <si>
    <t>ARMAÇÃO DE PILAR OU VIGA DE ESTRUTURA CONVENCIONAL DE CONCRETO ARMADO UTILIZANDO AÇO CA-50 DE 8,0 MM - MONTAGEM. AF_06/2022</t>
  </si>
  <si>
    <t>ALVENARIA DE VEDAÇÃO DE BLOCOS CERÂMICOS FURADOS NA VERTICAL DE 9X19X39 CM (ESPESSURA 9 CM) E ARGAMASSA DE ASSENTAMENTO COM PREPARO EM BETONEIRA. AF_12/2021</t>
  </si>
  <si>
    <t>FIXAÇÃO DE TUBOS HORIZONTAIS DE PVC, CPVC OU COBRE DIÂMETROS MENORES OU IGUAIS A 40 MM OU ELETROCALHAS ATÉ 150MM DE LARGURA, COM ABRAÇADEIRA METÁLICA RÍGIDA TIPO D 1/2?, FIXADA EM PERFILADO EM LAJE. AF_05/2015</t>
  </si>
  <si>
    <t>BASEADO NA COMPOSIÇÃO SINAPI CÓD. 97237</t>
  </si>
  <si>
    <t>PMA CIV 009</t>
  </si>
  <si>
    <t>BASEADO NA COMPOSIÇÃO SINAPI CÓD. 97281</t>
  </si>
  <si>
    <t>TALA PARA EMENDA DE ELETROCALHA GALVANIZADA LISA OU PERFURADA</t>
  </si>
  <si>
    <t>PORCA ZINCADA, SEXTAVADA, DIAMETRO 1/4"</t>
  </si>
  <si>
    <t>ARRUELA EM ALUMINIO, COM ROSCA, DE  1 1/4", PARA ELETRODUTO</t>
  </si>
  <si>
    <t>PMA CIV 011</t>
  </si>
  <si>
    <t>BASEADO NA COMPOSIÇÃO SINAPI CÓD. 97314</t>
  </si>
  <si>
    <t>ARRUELA EM ALUMINIO, COM ROSCA, DE  1 1/4"", PARA ELETRODUTO</t>
  </si>
  <si>
    <t>PORCA ZINCADA, SEXTAVADA, DIAMETRO 1/4""</t>
  </si>
  <si>
    <t>TE HORIZONTAL 90 GRAUS PARA ELETROCALHA EM CHAPA DE ACO GALVANIZADO 75 X 50 MM, ESPESSURA #20</t>
  </si>
  <si>
    <t>RADIER</t>
  </si>
  <si>
    <t>CONCRETAGEM DE BLOCOS DE COROAMENTO E VIGAS BALDRAME, FCK 30 MPA, COM USO DE JERICA  LANÇAMENTO, ADENSAMENTO E ACABAMENTO. AF_06/2017</t>
  </si>
  <si>
    <t>FABRICAÇÃO, MONTAGEM E DESMONTAGEM DE FÔRMA PARA VIGA BALDRAME, EM CHAPA DE MADEIRA COMPENSADA RESINADA, E=17 MM, 4 UTILIZAÇÕES. AF_06/2017</t>
  </si>
  <si>
    <t>ARMAÇÃO DE BLOCO, VIGA BALDRAME OU SAPATA UTILIZANDO AÇO CA-50 DE 6,3 MM - MONTAGEM. AF_06/2017</t>
  </si>
  <si>
    <t>ARMAÇÃO DE LAJE DE ESTRUTURA CONVENCIONAL DE CONCRETO ARMADO UTILIZANDO AÇO CA-50 DE 8,0 MM - MONTAGEM. AF_06/2022</t>
  </si>
  <si>
    <t>LASTRO COM MATERIAL GRANULAR (PEDRA BRITADA N.2), APLICADO EM PISOS OU LAJES SOBRE SOLO, ESPESSURA DE *10 CM*. AF_08/2017</t>
  </si>
  <si>
    <t>COMPACTAÇÃO MECÂNICA DE SOLO PARA EXECUÇÃO DE RADIER, PISO DE CONCRETO OU LAJE SOBRE SOLO, COM COMPACTADOR DE SOLOS A PERCUSSÃO. AF_09/2021</t>
  </si>
  <si>
    <t>CONCRETAGEM DE RADIER, PISO DE CONCRETO OU LAJE SOBRE SOLO, FCK 30 MPA - LANÇAMENTO, ADENSAMENTO E ACABAMENTO. AF_09/2021</t>
  </si>
  <si>
    <t>CAMADA SEPARADORA PARA EXECUÇÃO DE RADIER, PISO DE CONCRETO OU LAJE SOBRE SOLO, EM LONA PLÁSTICA. AF_09/2021</t>
  </si>
  <si>
    <t>ESCAVAÇÃO HORIZONTAL EM SOLO DE 1A CATEGORIA COM TRATOR DE ESTEIRAS (170HP/LÂMINA: 5,20M3). AF_07/2020</t>
  </si>
  <si>
    <t>ARMAÇÃO DE LAJE DE ESTRUTURA CONVENCIONAL DE CONCRETO ARMADO UTILIZANDO AÇO CA-60 DE 4,2 MM - MONTAGEM. AF_06/2022</t>
  </si>
  <si>
    <t xml:space="preserve">KG        </t>
  </si>
  <si>
    <t>FABRICAÇÃO DE ESCORAS DO TIPO PONTALETE, EM MADEIRA, PARA PÉ-DIREITO SIMPLES. AF_09/2020</t>
  </si>
  <si>
    <t>PREGO DE ACO POLIDO COM CABECA DUPLA 17 X 27 (2 1/2 X 11)</t>
  </si>
  <si>
    <t>TABUA  NAO  APARELHADA  *2,5 X 20* CM, EM MACARANDUBA, ANGELIM OU EQUIVALENTE DA REGIAO - BRUTA</t>
  </si>
  <si>
    <t>PMA CIV 012</t>
  </si>
  <si>
    <t>BASEADO NA COMPOSIÇÃO SINAPI CÓD. 101951</t>
  </si>
  <si>
    <t>LAJE PRE-MOLDADA TRELICADA (LAJOTAS + VIGOTAS) PARA FORRO, UNIDIRECIONAL, SOBRECARGA DE 100 KG/M2, VAO ATE 6,00 M (SEM COLOCACAO)</t>
  </si>
  <si>
    <t>POLIESTIRENO EXPANDIDO/EPS (ISOPOR), TIPO 2F, BLOCO</t>
  </si>
  <si>
    <t>CONCRETAGEM DE VIGAS E LAJES, FCK=25 MPA, PARA LAJES MACIÇAS OU NERVURADAS COM USO DE BOMBA - LANÇAMENTO, ADENSAMENTO E ACABAMENTO. AF_02/2022</t>
  </si>
  <si>
    <t>PMA CIV 013</t>
  </si>
  <si>
    <t>LAJE PRÉ-MOLDADA UNIDIRECIONAL, BIAPOIADA, ENCHIMENTO EM EPS, VIGOTA TRELIÇADA, ALTURA TOTAL DA LAJE (ENCHIMENTO+CAPA) = (8CM+7CM)</t>
  </si>
  <si>
    <t>ARMAÇÃO DE PILAR OU VIGA DE ESTRUTURA CONVENCIONAL DE CONCRETO ARMADO UTILIZANDO AÇO CA-50 DE 6,3 MM - MONTAGEM. AF_06/2022</t>
  </si>
  <si>
    <t>ARMAÇÃO DE PILAR OU VIGA DE ESTRUTURA CONVENCIONAL DE CONCRETO ARMADO UTILIZANDO AÇO CA-50 DE 10,0 MM - MONTAGEM. AF_06/2022</t>
  </si>
  <si>
    <t>ARMAÇÃO DE PILAR OU VIGA DE ESTRUTURA CONVENCIONAL DE CONCRETO ARMADO UTILIZANDO AÇO CA-50 DE 12,5 MM - MONTAGEM. AF_06/2022</t>
  </si>
  <si>
    <t>ARMAÇÃO DE PILAR OU VIGA DE ESTRUTURA CONVENCIONAL DE CONCRETO ARMADO UTILIZANDO AÇO CA-50 DE 16,0 MM - MONTAGEM. AF_06/2022</t>
  </si>
  <si>
    <t>MONTAGEM E DESMONTAGEM DE FÔRMA DE PILARES RETANGULARES E ESTRUTURAS SIMILARES, PÉ-DIREITO SIMPLES, EM CHAPA DE MADEIRA COMPENSADA PLASTIFICADA, 12 UTILIZAÇÕES. AF_09/2020</t>
  </si>
  <si>
    <t>CONCRETAGEM DE PILARES, FCK = 25 MPA, COM USO DE BOMBA - LANÇAMENTO, ADENSAMENTO E ACABAMENTO. AF_02/2022</t>
  </si>
  <si>
    <t>LOCAÇÃO DE PONTO PARA REFERÊNCIA TOPOGRÁFICA. AF_10/2018</t>
  </si>
  <si>
    <t>ESTACA BROCA</t>
  </si>
  <si>
    <t>ESTACA BROCA DE CONCRETO, DIÂMETRO DE 30CM, ESCAVAÇÃO MANUAL COM TRADO CONCHA, INTEIRAMENTE ARMADA. AF_05/2020</t>
  </si>
  <si>
    <t>ARMADURA DE PUNÇÃO</t>
  </si>
  <si>
    <t>ARMAÇÃO UTILIZANDO AÇO CA-25 DE 6,3 MM - MONTAGEM. AF_06/2022</t>
  </si>
  <si>
    <t>CHAPA DE ACO CARBONO LAMINADO A QUENTE, QUALIDADE ESTRUTURAL, BITOLA 3/16", E =4,75 MM (37,29 KG/M2)</t>
  </si>
  <si>
    <t>SOLDA DE TOPO EM CHAPA/PERFIL/TUBO DE AÇO CHANFRADO, ESPESSURA=1/4''. AF_06/2018</t>
  </si>
  <si>
    <t>BASEADO NA COMPOSIÇÃO SINAPI CÓD. 95818</t>
  </si>
  <si>
    <t>CONDULETE DE ALUMINIO TIPO X, PARA ELETRODUTO ROSCAVEL DE 2", COM TAMPA CEGA</t>
  </si>
  <si>
    <t>CONDULETE DE ALUMÍNIO, TIPO X, PARA ELETRODUTOS DN 25 MM (1''), APARENTE - FORNECIMENTO E INSTALAÇÃO. AF_11/2016</t>
  </si>
  <si>
    <t>CONDULETE DE ALUMÍNIO, TIPO X, PARA ELETRODUTOS DN 50 MM (2''), APARENTE - FORNECIMENTO E INSTALAÇÃO. AF_11/2016</t>
  </si>
  <si>
    <t>2.4</t>
  </si>
  <si>
    <t>ELETROTÉCNICO COM ENCARGOS COMPLEMENTARES</t>
  </si>
  <si>
    <t>6horas*210dias</t>
  </si>
  <si>
    <t>TOTAL POR UNIDADE</t>
  </si>
  <si>
    <t>PORTA DE ABRIR EM ALUMINIO COM LAMBRI HORIZONTAL/LAMINADA, ACABAMENTO ANODIZADO NATURAL, SEM GUARNICAO/ALIZAR/VISTA</t>
  </si>
  <si>
    <t>BASEADO NA COMPOSIÇÃO SINAPI CÓD. 91341</t>
  </si>
  <si>
    <t>PORTA DE CORRER EM ALUMINIO (310X210CM), COM QUATRO FOLHAS DE VIDRO, INCLUSO VIDRO LISO INCOLOR, FECHADURA E PUXADOR, COM ALIZAR.</t>
  </si>
  <si>
    <t>BARRA DE FERRO CHATO, RETANGULAR, 25,4 MM X 4,76 MM (L X E), 1,73 KG/M</t>
  </si>
  <si>
    <t>CANTONEIRA ACO ABAS IGUAIS (QUALQUER BITOLA), ESPESSURA ENTRE 1/8" E 1/4"</t>
  </si>
  <si>
    <t>ELETRODO REVESTIDO AWS - E6013, DIAMETRO IGUAL A 2,50 MM</t>
  </si>
  <si>
    <t>AUXILIAR DE SERRALHEIRO COM ENCARGOS COMPLEMENTARES</t>
  </si>
  <si>
    <t>ARGAMASSA TRAÇO 1:3 (EM VOLUME DE CIMENTO E AREIA MÉDIA ÚMIDA), PREPARO MANUAL. AF_08/2019</t>
  </si>
  <si>
    <t>BASEADO NA COMPOSIÇÃO SINAPI CÓD. 99861</t>
  </si>
  <si>
    <t>PINTURA COM TINTA ALQUÍDICA DE FUNDO E ACABAMENTO (ESMALTE SINTÉTICO) PULVERIZADA SOBRE SUPERFÍCIES METÁLICAS (EXCETO PERFIL) EXECUTADO EM OBRA (POR DEMÃO). AF_01/2020_P</t>
  </si>
  <si>
    <t>PORTA DE ABRIR EM ALUMINIO TIPO VENEZIANA, ACABAMENTO ANODIZADO NATURAL, SEM GUARNICAO/ALIZAR/VISTA, 87 X 210 CM</t>
  </si>
  <si>
    <t>PORTA EM ALUMÍNIO DE ABRIR COM LAMBRI, COM GUARNIÇÃO, FIXAÇÃO COM PARAFUSOS - FORNECIMENTO E INSTALAÇÃO. AF_12/2019</t>
  </si>
  <si>
    <t>PORTA EM ALUMÍNIO DE ABRIR TIPO VENEZIANA, DUAS FOLHAS (120X210CM), COM GUARNIÇÃO, FIXAÇÃO COM PARAFUSOS - FORNECIMENTO E INSTALAÇÃO. AF_12/2019.</t>
  </si>
  <si>
    <t>CAIXILHO EM MALHA QUADRADA ONDULADA, DUAS FOLHAS (300X165CM), PINTURA NA COR BRANCA - FORNECIMENTO E INSTALAÇÃO</t>
  </si>
  <si>
    <t>CAIXILHO EM MALHA QUADRADA ONDULADA, DUAS FOLHAS (120X165CM), PINTURA NA COR BRANCA - FORNECIMENTO E INSTALAÇÃO</t>
  </si>
  <si>
    <t>PORTA DE ABRIR/GIRO EM MALHA QUADRADA ONDULADA, DUAS FOLHAS (120X110CM), PINTURA NA COR BRANCA - FORNECIMENTO E INSTALAÇÃO</t>
  </si>
  <si>
    <t>PORTA DE ABRIR/GIRO EM MALHA QUADRADA ONDULADA, DUAS FOLHAS (100X110CM), PINTURA NA COR BRANCA - FORNECIMENTO E INSTALAÇÃO</t>
  </si>
  <si>
    <t>PORTA DE ABRIR/GIRO EM MALHA QUADRADA ONDULADA, DUAS FOLHAS(120X211CM)), PINTURA NA COR BRANCA - FORNECIMENTO E INSTALAÇÃO</t>
  </si>
  <si>
    <t>JANELA DE CORRER, EM ALUMINIO PERFIL 25, 100 X 120 CM (A X L), 2 FLS MOVEIS,  SEM BANDEIRA, ACABAMENTO BRANCO OU BRILHANTE, BATENTE DE 6 A 7 CM, COM VIDRO, SEM GUARNICAO</t>
  </si>
  <si>
    <t>CONTRAMARCO DE ALUMÍNIO, FIXAÇÃO COM ARGAMASSA - FORNECIMENTO E INSTALAÇÃO. AF_12/2019</t>
  </si>
  <si>
    <t xml:space="preserve">PORTA EM ALUMÍNIO DE ABRIR COM LAMBRI, PARA VIDRO, COM GUARNIÇÃO, DUAS FOLHAS (120X210CM), FIXAÇÃO COM PARAFUSOS, INCLUSIVE VIDROS - FORNECIMENTO E INSTALAÇÃO. </t>
  </si>
  <si>
    <t xml:space="preserve">PORTA EM ALUMÍNIO DE ABRIR COM LAMBRI, PARA VIDRO, COM GUARNIÇÃO, DUAS FOLHAS (160X210CM), FIXAÇÃO COM PARAFUSOS, INCLUSIVE VIDROS - FORNECIMENTO E INSTALAÇÃO. </t>
  </si>
  <si>
    <t xml:space="preserve">PORTA EM ALUMÍNIO COM LAMBRI, DE ABRIR PARA VIDRO, COM GUARNIÇÃO, DUAS FOLHAS (200X210CM), FIXAÇÃO COM PARAFUSOS, INCLUSIVE VIDROS - FORNECIMENTO E INSTALAÇÃO. </t>
  </si>
  <si>
    <t>JANELA DE ALUMÍNIO DE CORRER COM 2 FOLHAS PARA VIDROS (80X100CM), COM VIDROS, BATENTE, ACABAMENTO COM ACETATO OU BRILHANTE E FERRAGENS, INCLUSIVE ALIZAR E CONTRAMARCO - FORNECIMENTO E INSTALAÇÃO.</t>
  </si>
  <si>
    <t>JANELA DE ALUMÍNIO DE CORRER COM 2 FOLHAS PARA VIDROS (100X100CM), COM VIDROS, BATENTE, ACABAMENTO COM ACETATO OU BRILHANTE E FERRAGENS, INCLUSIVE ALIZAR E CONTRAMARCO - FORNECIMENTO E INSTALAÇÃO.</t>
  </si>
  <si>
    <t>JANELA DE ALUMÍNIO DE CORRER COM 2 FOLHAS PARA VIDROS (100X120CM), COM VIDROS, BATENTE, ACABAMENTO COM ACETATO OU BRILHANTE E FERRAGENS, INCLUSIVE ALIZAR E CONTRAMARCO - FORNECIMENTO E INSTALAÇÃO.</t>
  </si>
  <si>
    <t>PEITORIL/ SOLEIRA EM MARMORE, POLIDO, BRANCO COMUM, L= *25*CM, E= *3* CM, CORTE RETO</t>
  </si>
  <si>
    <t>JANELA DE ALUMÍNIO DE CORRER COM 2 FOLHAS PARA VIDROS (100X120CM), PEITORIL (50X120CM), COM VIDROS, BATENTE, ACABAMENTO COM ACETATO OU BRILHANTE E FERRAGENS, INCLUSIVE ALIZAR E CONTRAMARCO</t>
  </si>
  <si>
    <t>JANELA DE ALUMÍNIO DE CORRER COM 2 FOLHAS PARA VIDROS (100X120CM), COM VIDROS, BATENTE, ACABAMENTO COM ACETATO OU BRILHANTE E FERRAGENS - FORNECIMENTO E INSTALAÇÃO.</t>
  </si>
  <si>
    <t>PARAFUSO DE ACO ZINCADO COM ROSCA SOBERBA, CABECA CHATA E FENDA SIMPLES, DIAMETRO 4,2 MM, COMPRIMENTO 32 MM</t>
  </si>
  <si>
    <t>JANELA DE ALUMÍNIO DE CORRER COM 2 FOLHAS PARA VIDROS (100X150CM), COM VIDROS, BATENTE, ACABAMENTO COM ACETATO OU BRILHANTE E FERRAGENS, INCLUSIVE ALIZAR E CONTRAMARCO - FORNECIMENTO E INSTALAÇÃO.</t>
  </si>
  <si>
    <t>JANELA DE ALUMÍNIO DE CORRER COM 2 FOLHAS PARA VIDROS (100X200CM), COM VIDROS, BATENTE, ACABAMENTO COM ACETATO OU BRILHANTE E FERRAGENS, INCLUSIVE ALIZAR E CONTRAMARCO - FORNECIMENTO E INSTALAÇÃO.</t>
  </si>
  <si>
    <t xml:space="preserve">ELETRODUTO RÍGIDO ROSCÁVEL, PVC, DN 50 MM (2"), PARA CIRCUITOS TERMINAIS, INSTALADO EM PAREDE - FORNECIMENTO E INSTALAÇÃO. </t>
  </si>
  <si>
    <t>ELETRODUTO DE PVC RIGIDO ROSCAVEL DE 2 ", SEM LUVA</t>
  </si>
  <si>
    <t>1,0170000</t>
  </si>
  <si>
    <t>0,2210000</t>
  </si>
  <si>
    <t>LUVA PARA ELETRODUTO, PVC, ROSCÁVEL, DN 60 MM (2"), PARA REDE  DE DISTRIBUIÇÃO DE ENERGIA ELÉTRICA - FORNECIMENTO E INSTALAÇÃO. AF_12/2021</t>
  </si>
  <si>
    <t>BASEADO NAS COMPOSIÇÕES SINAPI CÓD. 91873</t>
  </si>
  <si>
    <t xml:space="preserve">ELETRODUTO RÍGIDO ROSCÁVEL, PVC, DN 25 MM (3/4"), PARA CIRCUITOS TERMINAIS, INSTALADO EM PAREDE - FORNECIMENTO E INSTALAÇÃO. </t>
  </si>
  <si>
    <t>ELETRODUTO RÍGIDO ROSCÁVEL, PVC, DN 25 MM (3/4"), PARA CIRCUITOS TERMINAIS, INSTALADO EM PAREDE - FORNECIMENTO E INSTALAÇÃO. AF_12/2015</t>
  </si>
  <si>
    <t>90447</t>
  </si>
  <si>
    <t>RASGO EM ALVENARIA PARA ELETRODUTOS COM DIAMETROS MENORES OU IGUAIS A 40 MM. AF_05/2015</t>
  </si>
  <si>
    <t>90466</t>
  </si>
  <si>
    <t>CHUMBAMENTO LINEAR EM ALVENARIA PARA RAMAIS/DISTRIBUIÇÃO COM DIÂMETROS MENORES OU IGUAIS A 40 MM. AF_05/2015</t>
  </si>
  <si>
    <t>LUVA PARA ELETRODUTO, PVC, ROSCÁVEL, DN 25 MM (3/4"), PARA CIRCUITOS TERMINAIS - FORNECIMENTO E INSTALAÇÃO. AF_12/2015</t>
  </si>
  <si>
    <t>BASEADO NAS COMPOSIÇÕES SINAPI CÓD. 91871</t>
  </si>
  <si>
    <t>ELETRODUTO RÍGIDO ROSCÁVEL, PVC, DN 32 MM (1"), PARA CIRCUITOS TERMINAIS, INSTALADO EM PAREDE - FORNECIMENTO E INSTALAÇÃO</t>
  </si>
  <si>
    <t>ELETRODUTO RÍGIDO ROSCÁVEL, PVC, DN 32 MM (1"), PARA CIRCUITOS TERMINAIS, INSTALADO EM PAREDE - FORNECIMENTO E INSTALAÇÃO. AF_12/2015</t>
  </si>
  <si>
    <t>LUVA PARA ELETRODUTO, PVC, ROSCÁVEL, DN 32 MM (1"), PARA CIRCUITOS TERMINAIS - FORNECIMENTO E INSTALAÇÃO. AF_12/2015</t>
  </si>
  <si>
    <t>BASEADO NAS COMPOSIÇÕES SINAPI CÓD. 91872</t>
  </si>
  <si>
    <t>ELETRODUTO RÍGIDO ROSCÁVEL, PVC, DN 110 MM (4"), PARA REDE DDISTRIBUIÇÃO DE ENERGIA ELÉTRICA - FORNECIMENTO E INSTALAÇÃO. AF_12/2021</t>
  </si>
  <si>
    <t>ELETRODUTO RÍGIDO ROSCÁVEL, PVC, DN 110 MM (4"), PARA REDE DDISTRIBUIÇÃO DE ENERGIA ELÉTRICA - FORNECIMENTO E INSTALAÇÃO.  AF_12/2021</t>
  </si>
  <si>
    <t>LUVA EM PVC RIGIDO ROSCAVEL, DE 4", PARA ELETRODUTO</t>
  </si>
  <si>
    <t>BASEADO NAS COMPOSIÇÕES SINAPI CÓD. 93012</t>
  </si>
  <si>
    <t>ELETRODUTO/DUTO PEAD FLEXIVEL PAREDE SIMPLES, CORRUGACAO HELICOIDAL, COR PRETA, SEM ROSCA, DE 2"</t>
  </si>
  <si>
    <t>BASEADO NA COMPOSIÇÃO SINAPI CÓD. 91860</t>
  </si>
  <si>
    <t xml:space="preserve">UN </t>
  </si>
  <si>
    <t>BASEADO NA COMPOSIÇÃO SINAPI: 97254</t>
  </si>
  <si>
    <t>EMENDA PARA ELETROCALHA, LISA OU PERFURADA EM AÇO GALVANIZADO, LARGURA 125MM E ALTURA 50MM - FORNECIMENTO E INSTALAÇÃO.</t>
  </si>
  <si>
    <t>EMENDA PARA ELETROCALHA, LISA OU PERFURADA EM AÇO GALVANIZADO, LARGURA DE 200MM E ALTURA DE 50MM - FORNECIMENTO E INSTALAÇÃO.</t>
  </si>
  <si>
    <t>ELETROCALHA LISA 200 x 50 MM,  TIPO ''U'', COM TAMPA – FORNECIMENTO E INSTALAÇÃO</t>
  </si>
  <si>
    <t>SUPORTE PARA ELETROCALHA LISA OU PERFURADA EM AÇO GALVANIZADO, LARGURA 200 OU 400 MM E ALTURA 50 MM, ESPAÇADO A CADA 1,5 M, EM PERFILADO DE SEÇÃO 38X76 MM, POR METRO DE ELETRECOLHA FIXADA. AF_07/2017</t>
  </si>
  <si>
    <t>ELETROCALHA LISA EM CHAPA DE ACO GALVANIZADO, LARGURA 200 MM E ALTURA 50 MM, ESPESSURA # 20</t>
  </si>
  <si>
    <t>BASEADO NA COMPOSIÇÃO SINAPI: 92739</t>
  </si>
  <si>
    <t>TÊ HORIZONTAL 90 GRAUS 200 X 50 MM PARA ELETROCALHA - FORNECIMENTO E INSTALAÇÃO</t>
  </si>
  <si>
    <t>TE HORIZONTAL 90 GRAUS PARA ELETROCALHA EM CHAPA DE ACO GALVANIZADO 200 X 50 MM, ESPESSURA #20</t>
  </si>
  <si>
    <t>BASEADO NA COMPOSIÇÃO SINAPI: 97318</t>
  </si>
  <si>
    <t>CURVA HORIZONTAL 90 GRAUS PARA ELETROCALHA EM CHAPA DE ACO GALVANIZADO 150 X 50 MM, ESPESSURA # 20</t>
  </si>
  <si>
    <t>PMA ELE 018</t>
  </si>
  <si>
    <t>GRAMPO METALICO TIPO OLHAL PARA HASTE DE ATERRAMENTO DE 5/8'', CONDUTOR DE *10* A 50 MM2 - FORNECIMENTO E INSTALAÇÃO</t>
  </si>
  <si>
    <t>GRAMPO METALICO TIPO OLHAL PARA HASTE DE ATERRAMENTO DE 5/8'', CONDUTOR DE *10* A 50 MM2</t>
  </si>
  <si>
    <t>PMA ELE 019</t>
  </si>
  <si>
    <t>PMA ELE 020</t>
  </si>
  <si>
    <t>BARRA CHATA DE ALUMÍNIO 7/8X1/8" SEM FURO -  FORNECIMENTO E INSTALAÇÃO</t>
  </si>
  <si>
    <t>FIXAÇÃO UTILIZANDO PARAFUSO E BUCHA DE NYLON, SOMENTE MÃO DE OBRA. AF_10/2016</t>
  </si>
  <si>
    <t>BARRA CHATA DE ALUMÍNIO 7/8X1/8" SEM FURO</t>
  </si>
  <si>
    <t>BASEADO NA COMPOSIÇÃO: DEFINIDO PELO PROJETISTA</t>
  </si>
  <si>
    <t>PMA ELE 021</t>
  </si>
  <si>
    <t>TERMINAL A COMPRESSAO EM COBRE ESTANHADO PARA CABO 50 MM2, 1 FURO E 1 COMPRESSAO, PARA PARAFUSO DE FIXACAO M8</t>
  </si>
  <si>
    <t>PMA ELE 022</t>
  </si>
  <si>
    <t>CAIXA DE INSPECAO PARA ATERRAMENTO OU OUTRO USO, EM PVC, DN = 300 X 250 MM</t>
  </si>
  <si>
    <t>0,1088000</t>
  </si>
  <si>
    <t>0,1384000</t>
  </si>
  <si>
    <t>PMA ELE 023</t>
  </si>
  <si>
    <t>0,9650000</t>
  </si>
  <si>
    <t>11251</t>
  </si>
  <si>
    <t>CAIXA DE PASSAGEM/ LUZ / TELEFONIA, DE EMBUTIR,  EM CHAPA DE ACO GALVANIZADO, DIMENSOES 40 X 40 X *12* CM (PADRAO CONCESSIONARIA LOCAL)</t>
  </si>
  <si>
    <t>ARGAMASSA TRAÇO 1:1:6 (EM VOLUME DE CIMENTO, CAL E AREIA MÉDIA ÚMIDA) PARA EMBOÇO/MASSA ÚNICA/ASSENTAMENTO DE ALVENARIA DE VEDAÇÃO, PREPARO MANUAL. AF_08/2019</t>
  </si>
  <si>
    <t>0,0140000</t>
  </si>
  <si>
    <t>BARRAMENTO NEUTRO 11 TERMINAIS 89 E 119MM</t>
  </si>
  <si>
    <t>PMA ELE 024</t>
  </si>
  <si>
    <t>TERMINAL DE COMPRESSÃO - #25,0MM² - FORNECIMENTO E INSTALAÇÃO</t>
  </si>
  <si>
    <t>TERMINAL A COMPRESSAO EM COBRE ESTANHADO PARA CABO 25 MM2, 1 FURO E 1 COMPRESSAO, PARA PARAFUSO DE FIXACAO M8</t>
  </si>
  <si>
    <t>PMA ELE 025</t>
  </si>
  <si>
    <t>TERMINAL DE COMPRESSÃO - #35,0MM² - FORNECIMENTO E INSTALAÇÃO</t>
  </si>
  <si>
    <t>TERMINAL A COMPRESSAO EM COBRE ESTANHADO PARA CABO 35 MM2, 1 FURO E 1 COMPRESSAO, PARA PARAFUSO DE FIXACAO M8</t>
  </si>
  <si>
    <t>PMA ELE 026</t>
  </si>
  <si>
    <t>TERMINAL DE COMPRESSÃO - #70,0MM² - FORNECIMENTO E INSTALAÇÃO</t>
  </si>
  <si>
    <t>TERMINAL A COMPRESSAO EM COBRE ESTANHADO PARA CABO 70 MM2, 1 FURO E 1 COMPRESSAO, PARA PARAFUSO DE FIXACAO M10</t>
  </si>
  <si>
    <t>PMA ELE 027</t>
  </si>
  <si>
    <t>TERMINAL DE COMPRESSÃO - #120,0MM² - FORNECIMENTO E INSTALAÇÃO</t>
  </si>
  <si>
    <t>TERMINAL A COMPRESSAO EM COBRE ESTANHADO PARA CABO 120 MM2, 1 FURO E 1 COMPRESSAO, PARA PARAFUSO DE FIXACAO M12</t>
  </si>
  <si>
    <t>PMA ELE 028</t>
  </si>
  <si>
    <t>CABO "PP" 3 X 2,5 MM² NÃO PROPAGANTES DE CHAMA, LIVRES DE HALOGENIO - FORNECIMENTO E INSTALAÇÃO</t>
  </si>
  <si>
    <t>0,0300000</t>
  </si>
  <si>
    <t>21127</t>
  </si>
  <si>
    <t>FITA ISOLANTE ADESIVA ANTICHAMA, USO ATE 750 V, EM ROLO DE 19 MM X 5 M</t>
  </si>
  <si>
    <t>0,0090000</t>
  </si>
  <si>
    <t>CABO MULTIPOLAR DE COBRE, FLEXIVEL, CLASSE 4 OU 5, ISOLACAO EM HEPR, COBERTURA EM PVC-ST2, ANTICHAMA BWF-B, 0,6/1 KV, 3 CONDUTORES DE 2,5 MM2</t>
  </si>
  <si>
    <t>PMA ELE 029</t>
  </si>
  <si>
    <t>0,3251000</t>
  </si>
  <si>
    <t>867</t>
  </si>
  <si>
    <t>CABO DE COBRE NU 50 MM2 MEIO-DURO</t>
  </si>
  <si>
    <t>1,0500000</t>
  </si>
  <si>
    <t>PMA ELE 030</t>
  </si>
  <si>
    <t xml:space="preserve">SIRENE AUDIOVISUAL DE EMERGÊNCIA E ALARME DE SANITÁRIO PNE COM FIO - FORNECIMENTO E INSTALAÇÃO. </t>
  </si>
  <si>
    <t>SIRENE AUDIOVISUAL DE EMERGÊNCIA E ALARME DE SANITÁRIO PNE COM FIO COM LED DE ALTO BRILHO (10MM) EM EM TUBO DE XENON, FREQUENCIA DE 150 FLASHES POR MINUTO, SINALIZAÇÃO "EMERGÊNCIA" ESCRITO EM VERMELHO DE SINALZIAÇÃO DE "PNE", ALERTA ESTROBOSCÓPICO, 40 LUMENS, 90DB A 1 METRO DA FONTE, 110 METROS EM ÁREAS SILENCIOSAS, TOQUE OSCILANTE, CAIXA EM PLÁSTICO ABS, NA COR BRANCA, IP32, 127/220V BIVOLT 0,35A ALIEMNTAÇÃO ATRAVES DE DOIS FIOS PARA LIGAÇÃO AO COMANDO</t>
  </si>
  <si>
    <t>PMA ELE 031</t>
  </si>
  <si>
    <t>BOTOEIRA / ACIONADOR MANUAL PNE, INTERRUPTOR DE TRAVAMENTO TIPO SOCO - FORNECIMENTO E INSTALAÇÃO.</t>
  </si>
  <si>
    <t>BOTOEIRA / ACIONADOR MANUAL PNE, INTERRUPTOR DE TRAVAMENTO TIPO SOCO, EM PLÁSTICO ABS, NA COR AMARELA COM CONTATO NA/NF ATÉ 6A 127V TEMPERATURA DE OPERAÇÃO -10°C A 60°C CONFORME ABNT NBR9050</t>
  </si>
  <si>
    <t>PMA ELE 032</t>
  </si>
  <si>
    <t>QDG-N - QUADRO DE DISTRIBUICAO COM BARRAMENTO TRIFASICO, DE EMBUTIR, EM CHAPA DE ACO GALVANIZADO, PARA 30 DISJUNTORES DIN, 225 A - FORNECIMENTO E INSTALAÇÃO.</t>
  </si>
  <si>
    <t>0,6337000</t>
  </si>
  <si>
    <t>0,0192000</t>
  </si>
  <si>
    <t>QUADRO DE DISTRIBUICAO COM BARRAMENTO TRIFASICO, DE EMBUTIR, EM CHAPA DE ACO GALVANIZADO, PARA 30 DISJUNTORES DIN, 225 A</t>
  </si>
  <si>
    <t>PMA ELE 033</t>
  </si>
  <si>
    <t>DISPOSITIVO DPS CLASSE II, 1 POLO, TENSAO MAXIMA DE 275 V, CORRENTE MAXIMA DE *20* KA (TIPO AC) - FORNECIMENTO E INSTALAÇÃO.</t>
  </si>
  <si>
    <t>1575</t>
  </si>
  <si>
    <t>TERMINAL A COMPRESSAO EM COBRE ESTANHADO PARA CABO 16 MM2, 1 FURO E 1 COMPRESSAO, PARA PARAFUSO DE FIXACAO M6</t>
  </si>
  <si>
    <t>DISPOSITIVO DPS CLASSE II, 1 POLO, TENSAO MAXIMA DE 275 V, CORRENTE MAXIMA DE *20* KA (TIPO AC)</t>
  </si>
  <si>
    <t>PMA ELE 034</t>
  </si>
  <si>
    <t>FUSIVEL NH *36* A 80 AMPERES, TAMANHO 00, CAPACIDADE DE INTERRUPCAO DE ATÉ 120 KA, TENSAO NOMIMNAL DE 500 V - FORNECIMENTO E INSTALAÇÃO.</t>
  </si>
  <si>
    <t>FUSIVEL NH *36* A 80 AMPERES, TAMANHO 00, CAPACIDADE DE INTERRUPCAO DE ATÉ 120 KA, TENSAO NOMIMNAL DE 500 V</t>
  </si>
  <si>
    <t>PMA ELE 035</t>
  </si>
  <si>
    <t xml:space="preserve">QLT-N-1 - QUADRO DE DISTRIBUIÇÃO DE ENERGIA EM CHAPA DE AÇO GALVANIZADO, DE EMBUTIR, COM BARRAMENTO TRIFÁSICO, PARA 48 DISJUNTORES DIN 100A - FORNECIMENTO E INSTALAÇÃO. </t>
  </si>
  <si>
    <t>QUADRO DE DISTRIBUICAO COM BARRAMENTO TRIFASICO, DE EMBUTIR, EM CHAPA DE ACO GALVANIZADO, PARA 48 DISJUNTORES DIN, 100 A</t>
  </si>
  <si>
    <t>PMA ELE 036</t>
  </si>
  <si>
    <t>DISPOSITIVO DR, 4 POLOS, SENSIBILIDADE DE 30 MA, CORRENTE DE 40 A, TIPO AC - FORNECIMENTO E INSTALAÇÃO.</t>
  </si>
  <si>
    <t>TERMINAL A COMPRESSAO EM COBRE ESTANHADO PARA CABO 10 MM2, 1 FURO E 1 COMPRESSAO, PARA PARAFUSO DE FIXACAO M6</t>
  </si>
  <si>
    <t>DISPOSITIVO DR, 4 POLOS, SENSIBILIDADE DE 30 MA, CORRENTE DE 40 A, TIPO AC</t>
  </si>
  <si>
    <t>PMA ELE 037</t>
  </si>
  <si>
    <t>DISJUNTOR TERMOMAGNÉTICO TRIPOLAR , CORRENTE NOMINAL DE 150A - FORNECIMENTO E INSTALAÇÃO - FORNECIMENTO E INSTALAÇÃO</t>
  </si>
  <si>
    <t>1,3232000</t>
  </si>
  <si>
    <t>TERMINAL A COMPRESSAO EM COBRE ESTANHADO PARA CABO 70 MM2, 1 FURO E 1 COMPRESSAO, PARA PARAFUSO DE FIXACAO M6</t>
  </si>
  <si>
    <t>DISJUNTOR TERMOMAGNETICO TRIPOLAR 150 A / 600 V, TIPO FXD / ICC - 35 KA</t>
  </si>
  <si>
    <t>PMA ELE 038</t>
  </si>
  <si>
    <t>DISJUNTOR TRIPOLAR TIPO DIN, CORRENTE NOMINAL DE 90A - FORNECIMENTO E INSTALAÇÃO</t>
  </si>
  <si>
    <t>DISJUNTOR TRIPOLAR TIPO DIN, CORRENTE NOMINAL DE 90A</t>
  </si>
  <si>
    <t>PMA ELE 039</t>
  </si>
  <si>
    <t>DISJUNTOR TRIPOLAR TIPO DIN, CORRENTE NOMINAL DE 80A - FORNECIMENTO E INSTALAÇÃO.</t>
  </si>
  <si>
    <t>TERMINAL A COMPRESSAO EM COBRE ESTANHADO PARA CABO 25MM2, 1 FURO E 1 COMPRESSAO, PARA PARAFUSO DE FIXACAO M6</t>
  </si>
  <si>
    <t>DISJUNTOR TRIPOLAR TIPO DIN, CORRENTE NOMINAL DE 80A</t>
  </si>
  <si>
    <t>PMA ELE 040</t>
  </si>
  <si>
    <t>DISPOSITIVO DR, 4 POLOS, SENSIBILIDADE DE 30 MA, CORRENTE DE 63 A, TIPO AC - FORNECIMENTO E INSTALAÇÃO.</t>
  </si>
  <si>
    <t>TERMINAL A COMPRESSAO EM COBRE ESTANHADO PARA CABO 6 MM2, 1 FURO E 1 COMPRESSAO, PARA PARAFUSO DE FIXACAO M6</t>
  </si>
  <si>
    <t>DISPOSITIVO DR, 4 POLOS, SENSIBILIDADE DE 30 MA, CORRENTE DE 63 A, TIPO AC</t>
  </si>
  <si>
    <t>PMA ELE 041</t>
  </si>
  <si>
    <t>PMA ELE 042</t>
  </si>
  <si>
    <t>PMA ELE 043</t>
  </si>
  <si>
    <t>NOBREAK TRIFASICO, DE 10 KVA FATOR DE POTENCIA DE 0,8, AUTONOMIA MINIMA DE 01 HORA A PLENA CARGA</t>
  </si>
  <si>
    <t>PMA ELE 044</t>
  </si>
  <si>
    <t>LUMINÁRIA DE EMBUTIR EM FORRO DE GESSO OU MODULAR DE PERFIL “T” DE ABA 25MM COM BARRA DE LED 32W E EMISSÃO DE LUZ NA COR BRANCO NEUTRO 4000K ( ± 200 ). CORPO EM CHAPA DE AÇO TRATADA COM ACABAMENTO EM PINTURA ELETROSTÁTICA NA COR BRANCA. DIFUSOR EM ACRÍLICO TRANSLÚCIDO, INCLUSIVE AS LÂMPADAS - FORNECIMENTO E INSTALAÇÃO.</t>
  </si>
  <si>
    <t>0,3453000</t>
  </si>
  <si>
    <t>0,8288000</t>
  </si>
  <si>
    <t>LUMINÁRIA DE EMBUTIR EM FORRO DE GESSO OU MODULAR DE PERFIL “T” DE ABA 25MM COM BARRA DE LED 32W E EMISSÃO DE LUZ NA COR BRANCO NEUTRO 4000K ( ± 200 ). CORPO EM CHAPA DE AÇO TRATADA COM ACABAMENTO EM PINTURA ELETROSTÁTICA NA COR BRANCA. DIFUSOR EM ACRÍLICO TRANSLÚCIDO, INCLUSIVE AS LÂMPADAS</t>
  </si>
  <si>
    <t>PMA ELE 045</t>
  </si>
  <si>
    <t>LUMINÁRIA DE EMBUTIR EM FORRO DE GESSO OU MODULAR DE PERFIL “T” DE ABA 25MM COM BARRA DE LED 49W E EMISSÃO DE LUZ NA COR BRANCO NEUTRO 4000K ( ± 200 ). CORPO EM CHAPA DE AÇO TRATADA COM ACABAMENTO EM PINTURA ELETROSTÁTICA NA COR BRANCA. DIFUSOR EM ACRÍLICO TRANSLÚCIDO, INCLUSIVE AS LÂMPADAS - FORNECIMENTO E INSTALAÇÃO.</t>
  </si>
  <si>
    <t>LUMINÁRIA DE EMBUTIR EM FORRO DE GESSO OU MODULAR DE PERFIL “T” DE ABA 25MM COM BARRA DE LED 49W E EMISSÃO DE LUZ NA COR BRANCO NEUTRO 4000K ( ± 200 ). CORPO EM CHAPA DE AÇO TRATADA COM ACABAMENTO EM PINTURA ELETROSTÁTICA NA COR BRANCA. DIFUSOR EM ACRÍLICO TRANSLÚCIDO, INCLUSIVE AS LÂMPADAS</t>
  </si>
  <si>
    <t>http://www.lojaeletrica.com.br/basket.aspx?idsku=2410203600347&amp;src=?idProduct=2410203600347&amp;iddept=0</t>
  </si>
  <si>
    <t>https://www.santil.com.br/produto/presilha-em-latao-para-cabo-de-3550mm-com-furo-5mm-paratec/2897812</t>
  </si>
  <si>
    <t>https://www.aluminioalure.com.br/carrinho/index</t>
  </si>
  <si>
    <t>https://www.leroymerlin.com.br/barramento-neutro-11-terminais-azul-steck_90332305</t>
  </si>
  <si>
    <t>https://www.eletricatakei.com.br/barramento-neutro-11-terminais-sbn11-steck-azul/p</t>
  </si>
  <si>
    <t>https://www.multimega.com.br/produto/barramento-terra-11-terminais-89-e-119mm-verde-sbt11-steck-79428?utm_source=&amp;utm_medium=&amp;utm_campaign=&amp;gclid=EAIaIQobChMI9J7q_7Co-QIV78mUCR1tewzlEAQYBSABEgIV8vD_BwE#</t>
  </si>
  <si>
    <t>ABAFIRE COMERCIO E SERVICOS - EIRELI</t>
  </si>
  <si>
    <t>10.625.409/0001-57</t>
  </si>
  <si>
    <t>https://www.extra.com.br/alarme-audiovisual-para-banheiro-pne-sem-fio-com-3-botoeira/p/1529955275</t>
  </si>
  <si>
    <t>https://torneiraeletronica.com.br/produto/alarme-audiovisual-emergencia-pcd-pne-idoso-nbr9050-audiovisual-sem-fio-113-003/163048</t>
  </si>
  <si>
    <t>https://produto.mercadolivre.com.br/MLB-2638323766-botoeira-com-fio-acionador-sos-sanitario-2x-normal-aberto-_JM</t>
  </si>
  <si>
    <t>https://www.lojadasempre.com.br/MLB-2173840695-boto-sos-sem-fio-banheiro-pne-alerta-na-internet-aplicativo-_JM</t>
  </si>
  <si>
    <t>https://www.estronicdistribuicao.com.br/xalk178g-botoeira-plast-botao-emer-soco-gir-dest-1na2nf-verm?utm_source=Site&amp;utm_medium=GoogleMerchant&amp;utm_campaign=GoogleMerchant&amp;gclid=EAIaIQobChMIlPi-xeqo-QIVQ-ZcCh1IfA9mEAYYAyABEgKX9fD_BwE</t>
  </si>
  <si>
    <t>https://www.leroymerlin.com.br/disjuntor-tripolar-din-curva-c-10ka-90a_1569938085</t>
  </si>
  <si>
    <t>https://produto.mercadolivre.com.br/MLB-2121748144-disjuntor-tripolar-90a-curva-c-din-10ka-soprano-_JM#position=5&amp;search_layout=stack&amp;type=item&amp;tracking_id=7c62b6c6-2da0-4d23-ab1c-261635b06795</t>
  </si>
  <si>
    <t>https://www.lojaeletropaulo.com.br/disjuntores/1593-disjuntor-tripolar-80a-din-curva-c-mdw-c80-weg-7890355193938.html</t>
  </si>
  <si>
    <t>https://www.jabu.com.br/carrinho</t>
  </si>
  <si>
    <t>https://www.leroymerlin.com.br/disjuntor-tripolar-din-curva-c-80a-steck_88507930</t>
  </si>
  <si>
    <t>https://www.lojailuminainstalacao.com.br/checkout/cart?session_id=gogavjln5ehglbpgepuosb9705&amp;store_id=791419#carrinho</t>
  </si>
  <si>
    <t>CAIXA RETANGULAR 4" X 2" BAIXA (0,30 M DO PISO), PVC, INSTALADA EM PAREDE - FORNECIMENTO E INSTALAÇÃO. AF_12/2015</t>
  </si>
  <si>
    <t>CAIXA RETANGULAR 4" X 2" MÉDIA (1,30 M DO PISO), PVC, INSTALADA EM PAREDE - FORNECIMENTO E INSTALAÇÃO. AF_12/2015</t>
  </si>
  <si>
    <t>QUEBRA EM ALVENARIA PARA INSTALAÇÃO DE CAIXA DE TOMADA (4X4 OU 4X2). AF_05/2015</t>
  </si>
  <si>
    <t>ELETRODUTO RÍGIDO ROSCÁVEL, PVC, DN 50 MM (2"), PARA CIRCUITOS TERMINAIS, INSTALADO EM PAREDE - FORNECIMENTO E INSTALAÇÃO.</t>
  </si>
  <si>
    <t>ELETRODUTO FLEXÍVEL LISO, PEAD, DN 50 MM (2"), PARA CIRCUITOS TERMINAIS, INSTALADO EM TETO - FORNECIMENTO E INSTALAÇÃO.</t>
  </si>
  <si>
    <t>ELETROCALHA LISA OU PERFURADA EM AÇO GALVANIZADO 200 x 50 MM,  TIPO ''U'', COM TAMPA – FORNECIMENTO E INSTALAÇÃO</t>
  </si>
  <si>
    <t>TÊ HORIZONTAL 90 GRAUS 200X 200 MM PARA ELETROCALHA LISA OU PERFURADA EM AÇO GALVANIZADO - FORNECIMENTO E INSTALAÇÃO</t>
  </si>
  <si>
    <t>CURVA HORIZONTAL 90 GRAUS 125 X 50 MM PARA ELETROCALHA LISA OU PERFURADA EM AÇO GALVANIZADO - FORNECIMENTO E INSTALAÇÃO</t>
  </si>
  <si>
    <t>CAPTOR TIPO FRANKLIN PARA SPDA - FORNECIMENTO E INSTALAÇÃO. AF_12/2017</t>
  </si>
  <si>
    <t>CONECTOR INTERFACE BIMETÁLICA BARRA X CABO DE COBRE 50MM²  -  FORNECIMENTO E INSTALAÇÃO</t>
  </si>
  <si>
    <t>CAIXA DE INSPECAO PARA ATERRAMENTO OU OUTRO USO, EM PVC, DN = 300 X 250 MM - FORNECIMENTO E INSTALAÇÃO</t>
  </si>
  <si>
    <t>CAIXA PARA EQUALIZAÇÃO EM CHAPA METÁLICA 40x40MM DE EMBUTIR - FORNECIMENTO E INSTALAÇÃO</t>
  </si>
  <si>
    <t>HASTE DE ATERRAMENTO 5/8 PARA SPDA - FORNECIMENTO E INSTALAÇÃO. AF_12/2017</t>
  </si>
  <si>
    <t>CAIXA DE INSPEÇÃO PARA ATERRAMENTO, CIRCULAR, EM POLIETILENO, DIÂMETRO INTERNO = 0,3 M. AF_12/2020</t>
  </si>
  <si>
    <t>CABO DE COBRE FLEXÍVEL ISOLADO, 2,5 MM², ANTI-CHAMA 450/750 V, PARA CIRCUITOS TERMINAIS - FORNECIMENTO E INSTALAÇÃO. AF_12/2015 - PRETO</t>
  </si>
  <si>
    <t>CABO DE COBRE FLEXÍVEL ISOLADO, 2,5 MM², ANTI-CHAMA 450/750 V, PARA CIRCUITOS TERMINAIS - FORNECIMENTO E INSTALAÇÃO. AF_12/2015 - VERMELHO</t>
  </si>
  <si>
    <t>CABO DE COBRE FLEXÍVEL ISOLADO, 2,5 MM², ANTI-CHAMA 450/750 V, PARA CIRCUITOS TERMINAIS - FORNECIMENTO E INSTALAÇÃO. AF_12/2015 - AZUL CLARO</t>
  </si>
  <si>
    <t>CABO DE COBRE FLEXÍVEL ISOLADO, 2,5 MM², ANTI-CHAMA 450/750 V, PARA CIRCUITOS TERMINAIS - FORNECIMENTO E INSTALAÇÃO. AF_12/2015 - VERDE</t>
  </si>
  <si>
    <t>CABO DE COBRE FLEXÍVEL ISOLADO, 2,5 MM², ANTI-CHAMA 450/750 V, PARA CIRCUITOS TERMINAIS - FORNECIMENTO E INSTALAÇÃO. AF_12/2015 - AMARELO/CINZA</t>
  </si>
  <si>
    <t>CABO DE COBRE FLEXÍVEL ISOLADO, 4,0 MM², ANTI-CHAMA 450/750 V, PARA CIRCUITOS TERMINAIS - FORNECIMENTO E INSTALAÇÃO. AF_12/2015 -  BRANCO</t>
  </si>
  <si>
    <t>CABO DE COBRE FLEXÍVEL ISOLADO, 4,0 MM², ANTI-CHAMA 450/750 V, PARA CIRCUITOS TERMINAIS - FORNECIMENTO E INSTALAÇÃO. AF_12/2015 - VERMELHO</t>
  </si>
  <si>
    <t>CABO DE COBRE FLEXÍVEL ISOLADO, 4,0 MM², ANTI-CHAMA 450/750 V, PARA CIRCUITOS TERMINAIS - FORNECIMENTO E INSTALAÇÃO. AF_12/2015 - PRETO</t>
  </si>
  <si>
    <t>CABO DE COBRE FLEXÍVEL ISOLADO, 4,0 MM², ANTI-CHAMA 450/750 V, PARA CIRCUITOS TERMINAIS - FORNECIMENTO E INSTALAÇÃO. AF_12/2015 - AZUL</t>
  </si>
  <si>
    <t>CABO DE COBRE FLEXÍVEL ISOLADO, 4,0 MM², ANTI-CHAMA 450/750 V, PARA CIRCUITOS TERMINAIS - FORNECIMENTO E INSTALAÇÃO. AF_12/2015 - VERDE</t>
  </si>
  <si>
    <t>CABO DE COBRE FLEXÍVEL ISOLADO, 6,0 MM², ANTI-CHAMA 450/750 V, PARA CIRCUITOS TERMINAIS - FORNECIMENTO E INSTALAÇÃO. AF_12/2015 - PRETO</t>
  </si>
  <si>
    <t xml:space="preserve">CABO DE COBRE NU 50 MM2 MEIO-DURO - FORNECIMENTO E INSTALAÇÃO. </t>
  </si>
  <si>
    <t>CABO DE COBRE FLEXÍVEL ISOLADO, 10 MM², ANTI-CHAMA 0,6/1,0 KV, PARA CIRCUITOS TERMINAIS - FORNECIMENTO E INSTALAÇÃO. AF_12/2015</t>
  </si>
  <si>
    <t>CABO DE COBRE FLEXÍVEL ISOLADO, 16 MM², ANTI-CHAMA 0,6/1,0 KV, PARA CIRCUITOS TERMINAIS - FORNECIMENTO E INSTALAÇÃO. AF_12/2015</t>
  </si>
  <si>
    <t>CABO DE COBRE FLEXÍVEL ISOLADO, 25 MM², ANTI-CHAMA 0,6/1,0 KV, PARA CIRCUITOS TERMINAIS - FORNECIMENTO E INSTALAÇÃO. AF_12/2015</t>
  </si>
  <si>
    <t>CABO DE COBRE FLEXÍVEL ISOLADO, 35 MM², ANTI-CHAMA 0,6/1,0 KV, PARA CIRCUITOS TERMINAIS - FORNECIMENTO E INSTALAÇÃO. AF_12/2015</t>
  </si>
  <si>
    <t>CABO DE COBRE FLEXÍVEL ISOLADO, 50 MM², ANTI-CHAMA 0,6/1,0 KV, PARA CIRCUITOS TERMINAIS - FORNECIMENTO E INSTALAÇÃO. AF_12/2015</t>
  </si>
  <si>
    <t>CABO DE COBRE FLEXÍVEL ISOLADO, 70 MM², ANTI-CHAMA 0,6/1,0 KV, PARA CIRCUITOS TERMINAIS - FORNECIMENTO E INSTALAÇÃO. AF_12/2015</t>
  </si>
  <si>
    <t>CABO DE COBRE FLEXÍVEL ISOLADO, 95 MM², ANTI-CHAMA 0,6/1,0 KV, PARA CIRCUITOS TERMINAIS - FORNECIMENTO E INSTALAÇÃO. AF_12/2015</t>
  </si>
  <si>
    <t>CABO DE COBRE FLEXÍVEL ISOLADO, 120 MM², ANTI-CHAMA 0,6/1,0 KV, PARA CIRCUITOS TERMINAIS - FORNECIMENTO E INSTALAÇÃO. AF_12/2015</t>
  </si>
  <si>
    <t>SIRENE AUDIOVISUAL DE EMERGÊNCIA E ALARME DE SANITÁRIO PNE COM FIO COM LED DE ALTO BRILHO (10MM) EM EM TUBO DE XENON, FREQUENCIA DE 150 FLASHES POR MINUTO, SINALIZAÇÃO "EMERGÊNCIA" ESCRITO EM VERMELHO DE SINALZIAÇÃO DE "PNE", ALERTA ESTROBOSCÓPICO, 40 LUMENS, 90DB A 1 METRO DA FONTE, 110 METROS EM ÁREAS SILENCIOSAS, TOQUE OSCILANTE, CAIXA EM PLÁSTICO ABS, NA COR BRANCA, IP32, 127/220V BIVOLT 0,35A ALIEMNTAÇÃO ATRAVES DE DOIS FIOS PARA LIGAÇÃO AO COMANDO – FORNECIMENTO E INSTALAÇÃO.</t>
  </si>
  <si>
    <t>BOTOEIRA / ACIONADOR MANUAL PNE, INTERRUPTOR DE TRAVAMENTO TIPO SOCO, EM PLÁSTICO ABS, NA COR AMARELA COM CONTATO NA/NF ATÉ 6A 127V TEMPERATURA DE OPERAÇÃO -10°C A 60°C CONFORME ABNT NBR9050 – FORNECIMENTO E INSTALAÇÃO.</t>
  </si>
  <si>
    <t>LUMINÁRIA DE EMERGÊNCIA, COM 30 LÂMPADAS LED DE 2 W, SEM REATOR - FORNECIMENTO E INSTALAÇÃO. AF_02/2020</t>
  </si>
  <si>
    <t>QDG-N (ENTRADA) - QUADRO DE DISTRIBUICAO COM BARRAMENTO TRIFASICO, DE EMBUTIR, EM CHAPA DE ACO GALVANIZADO, PARA 30 DISJUNTORES DIN, 225 A - FORNECIMENTO E INSTALAÇÃO.</t>
  </si>
  <si>
    <t>DISJUNTOR TERMOMAGNÉTICO TRIPOLAR , CORRENTE NOMINAL DE 200A - FORNECIMENTO E INSTALAÇÃO. AF_10/2020 (QDG-B)</t>
  </si>
  <si>
    <t>DISJUNTOR TERMOMAGNÉTICO TRIPOLAR , CORRENTE NOMINAL DE 125A - FORNECIMENTO E INSTALAÇÃO. AF_10/2020 (QLT-N-1)</t>
  </si>
  <si>
    <t>DISJUNTOR TERMOMAGNÉTICO TRIPOLAR , CORRENTE NOMINAL DE 100A - FORNECIMENTO E INSTALAÇÃO. AF_10/2020 (QF-N-AC)</t>
  </si>
  <si>
    <t>DISJUNTOR TRIPOLAR TIPO DIN, CORRENTE NOMINAL DE 40A - FORNECIMENTO E INSTALAÇÃO. AF_10/2020 (QLT-N-2; QLT-N-COPA; NO BREAK)</t>
  </si>
  <si>
    <t>DISJUNTOR TRIPOLAR TIPO DIN, CORRENTE NOMINAL DE 20A - FORNECIMENTO E INSTALAÇÃO. AF_10/2020 (AEX-USB-01)</t>
  </si>
  <si>
    <t>DISJUNTOR TERMOMAGNÉTICO TRIPOLAR , CORRENTE NOMINAL DE 150A - FORNECIMENTO E INSTALAÇÃO</t>
  </si>
  <si>
    <t>13.73</t>
  </si>
  <si>
    <t>DISJUNTOR TERMOMAGNÉTICO TRIPOLAR , CORRENTE NOMINAL DE 100A - FORNECIMENTO E INSTALAÇÃO. AF_10/2020</t>
  </si>
  <si>
    <t>13.74</t>
  </si>
  <si>
    <t>13.75</t>
  </si>
  <si>
    <t>DISJUNTOR TRIPOLAR TIPO DIN, CORRENTE NOMINAL DE 50A - FORNECIMENTO E INSTALAÇÃO. AF_10/2020</t>
  </si>
  <si>
    <t>13.76</t>
  </si>
  <si>
    <t>DISJUNTOR TRIPOLAR TIPO DIN, CORRENTE NOMINAL DE 40A - FORNECIMENTO E INSTALAÇÃO. AF_10/2020</t>
  </si>
  <si>
    <t>13.77</t>
  </si>
  <si>
    <t>13.78</t>
  </si>
  <si>
    <t>QLT-N-COPA - QUADRO DE DISTRIBUIÇÃO DE ENERGIA EM CHAPA DE AÇO GALVANIZADO, DE EMBUTIR, COM BARRAMENTO TRIFÁSICO, PARA 12 DISJUNTORES DIN 100A - FORNECIM
ENTO E INSTALAÇÃO. AF_10/2020</t>
  </si>
  <si>
    <t>DISJUNTOR MONOPOLAR TIPO DIN, CORRENTE NOMINAL DE 16A - FORNECIMENTO E INSTALAÇÃO. AF_10/2020</t>
  </si>
  <si>
    <t>13.79</t>
  </si>
  <si>
    <t>DISJUNTOR MONOPOLAR TIPO DIN, CORRENTE NOMINAL DE 20A - FORNECIMENTO E INSTALAÇÃO. AF_10/2020</t>
  </si>
  <si>
    <t>13.80</t>
  </si>
  <si>
    <t>DISJUNTOR BIPOLAR TIPO DIN, CORRENTE NOMINAL DE 20A - FORNECIMENTO E INSTALAÇÃO. AF_10/2020</t>
  </si>
  <si>
    <t>13.81</t>
  </si>
  <si>
    <t>13.82</t>
  </si>
  <si>
    <t xml:space="preserve">QLT-N-1 - QUADRO DE DISTRIBUIÇÃO DE ENERGIA EM CHAPA DE AÇO GALVANIZADO, DE EMBUTIR, COM BARRAMENTO TRIFÁSICO, PARA 48 DISJUNTORES DIN 100A - FORNECIM
ENTO E INSTALAÇÃO. </t>
  </si>
  <si>
    <t>13.83</t>
  </si>
  <si>
    <t>13.84</t>
  </si>
  <si>
    <t>13.85</t>
  </si>
  <si>
    <t>13.86</t>
  </si>
  <si>
    <t>13.87</t>
  </si>
  <si>
    <t>DISJUNTOR BIPOLAR TIPO DIN, CORRENTE NOMINAL DE 40A - FORNECIMENTO E INSTALAÇÃO. AF_10/2020</t>
  </si>
  <si>
    <t>13.88</t>
  </si>
  <si>
    <t>DISJUNTOR TRIPOLAR TIPO DIN, CORRENTE NOMINAL DE 63A - FORNECIMENTO E INSTALAÇÃO. AF_10/2020</t>
  </si>
  <si>
    <t>13.89</t>
  </si>
  <si>
    <t xml:space="preserve">DISJUNTOR TRIPOLAR TIPO DIN, CORRENTE NOMINAL DE 80A - FORNECIMENTO E INSTALAÇÃO. </t>
  </si>
  <si>
    <t>13.90</t>
  </si>
  <si>
    <t xml:space="preserve">QLT-N- 2 - QUADRO DE DISTRIBUIÇÃO DE ENERGIA EM CHAPA DE AÇO GALVANIZADO, DE EMBUTIR, COM BARRAMENTO TRIFÁSICO, PARA 48 DISJUNTORES DIN 100A - FORNECIM
ENTO E INSTALAÇÃO. </t>
  </si>
  <si>
    <t>13.91</t>
  </si>
  <si>
    <t>13.92</t>
  </si>
  <si>
    <t>13.93</t>
  </si>
  <si>
    <t>13.94</t>
  </si>
  <si>
    <t>13.95</t>
  </si>
  <si>
    <t>13.96</t>
  </si>
  <si>
    <t>13.97</t>
  </si>
  <si>
    <t>13.98</t>
  </si>
  <si>
    <t>13.99</t>
  </si>
  <si>
    <t>LUMINÁRIA ARANDELA TIPO TARTARUGA, DE SOBREPOR, COM 1 LÂMPADA LED DE 6W, SEM REATOR - FORNECIMENTO E INSTALAÇÃO. AF_02/2020</t>
  </si>
  <si>
    <t>PERFIL "U" DE ACO LAMINADO, "U" 152 X 15,6</t>
  </si>
  <si>
    <t>PINTURA COM TINTA ALQUÍDICA DE ACABAMENTO (ESMALTE SINTÉTICO BRILHANTE) PULVERIZADA SOBRE SUPERFÍCIES METÁLICAS (EXCETO PERFIL) EXECUTADO EM OBRA (POR DEMÃO). AF_01/2020_P</t>
  </si>
  <si>
    <t>PINTURA COM TINTA ALQUÍDICA DE FUNDO (TIPO ZARCÃO) APLICADA A ROLO OU PINCEL SOBRE SUPERFÍCIES METÁLICAS (EXCETO PERFIL) EXECUTADO EM OBRA (POR DEMÃO). AF_01/2020</t>
  </si>
  <si>
    <t>MONTADOR DE ESTRUTURA METÁLICA COM ENCARGOS COMPLEMENTARES</t>
  </si>
  <si>
    <t>BASEADO NA COMPOSIÇÃO SINAPI CÓD. 72114</t>
  </si>
  <si>
    <t>ESTRUTURA METALICA EM TESOURAS, INCLUSO PINTURA DE ACABAMENTO. EXCLUSIVE FECHAMENTOS METÁLICOS E TELHAS DE COBERTURA -  FORNECIMENTO E INSTALAÇÃO.</t>
  </si>
  <si>
    <t>8.1</t>
  </si>
  <si>
    <t>8.2</t>
  </si>
  <si>
    <t>8.3</t>
  </si>
  <si>
    <t>15.20</t>
  </si>
  <si>
    <t>Reforço dos pilares de extremidade</t>
  </si>
  <si>
    <t>(((154,27/2)/0,35)*0,1*0,35)+11,66</t>
  </si>
  <si>
    <t>Quantificação obtida através do projeto estrutural</t>
  </si>
  <si>
    <t>154,27/2 (formas apenas externas, considerando-se que internamente há concretagem do radier)</t>
  </si>
  <si>
    <t>4.9</t>
  </si>
  <si>
    <t>4.10</t>
  </si>
  <si>
    <t>4.11</t>
  </si>
  <si>
    <t>4.12</t>
  </si>
  <si>
    <t>4.13</t>
  </si>
  <si>
    <t>4.14</t>
  </si>
  <si>
    <t>4.15</t>
  </si>
  <si>
    <t>4.16</t>
  </si>
  <si>
    <t>4.17</t>
  </si>
  <si>
    <t>Face externa da viga baldrame</t>
  </si>
  <si>
    <t xml:space="preserve">Quantificação obtida através do projeto estrutural: armaduras </t>
  </si>
  <si>
    <t>((148*0,306)+(904*0,276)+(45*0,276)+(20*0,306))*0,245*1,1</t>
  </si>
  <si>
    <t>37,29*((0,385*0,025)+(0,505*0,025))*1,1</t>
  </si>
  <si>
    <t>(148+904+45+20)*0,0063*1,1</t>
  </si>
  <si>
    <t>Quantificação obtida através do projeto estrutural: razão entre o volume de concreto e a profundidade</t>
  </si>
  <si>
    <t>10cm de lastro de brita em toda a área de contato concreto/solo</t>
  </si>
  <si>
    <t>Quantificação obtida através do projeto estrutural: razão entre o volume de concreto e a profundidade para determinar-se a área de contato concreto/solo</t>
  </si>
  <si>
    <t>5.2</t>
  </si>
  <si>
    <t>5.3</t>
  </si>
  <si>
    <t>5.4</t>
  </si>
  <si>
    <t>Quantificação obtida através do projeto estrutural: razão entre o volume de concreto e a profundidade da capa</t>
  </si>
  <si>
    <t>Quantificação obtida através do projeto estrutural: somatório do quantitativo de formas</t>
  </si>
  <si>
    <t>Quantificação obtida através do projeto estrutural: somatório do quantitativo de aço 5mm</t>
  </si>
  <si>
    <t>Quantificação obtida através do projeto estrutural: somatório do quantitativo de aço 6,3 mm</t>
  </si>
  <si>
    <t>Quantificação obtida através do projeto estrutural: somatório do quantitativo de aço 8 mm</t>
  </si>
  <si>
    <t>Quantificação obtida através do projeto estrutural: somatório do quantitativo de aço 10 mm</t>
  </si>
  <si>
    <t>Quantificação obtida através do projeto estrutural: somatório do quantitativo de aço 12,5 mm</t>
  </si>
  <si>
    <t>Quantificação obtida através do projeto estrutural: somatório do quantitativo de aço 16 mm</t>
  </si>
  <si>
    <t>Quantificação obtida através do projeto estrutural: somatório do volume de concreto</t>
  </si>
  <si>
    <t>Largura média(1,5m) + (20cm) de cada lado * (26) janelas</t>
  </si>
  <si>
    <t>Área de alvenaria(737,008m² +270,93m² +112,55m²)* duas faces</t>
  </si>
  <si>
    <t>Área externa: 6,45+58,67+29,62+74,89+2,8+3,2 + empena do telhado: 112,55</t>
  </si>
  <si>
    <t>Retirado da planilha quantitativa arquitetônica</t>
  </si>
  <si>
    <t>7.6</t>
  </si>
  <si>
    <t>5.13</t>
  </si>
  <si>
    <t>Ver prancha DE-I726418001-0000ARQ0585</t>
  </si>
  <si>
    <t>Ver prancha DE-I726418001-0000ARQ0590</t>
  </si>
  <si>
    <t>Ver prancha DE-I726418001-0000ARQ0589</t>
  </si>
  <si>
    <t>Extraído da planilha de quantificação arquitetônica</t>
  </si>
  <si>
    <t>Ver pranchas DE-I726418001-0000MET0512 
DE-I726418001-0000MET0523</t>
  </si>
  <si>
    <t>Ver pranchas DE-I726418001-0000ARQ0588 / DE-I726418001-0000ARQ0596</t>
  </si>
  <si>
    <t>Ver pranchas DE-I726418001-0000ARQ0599 / DE-I726418001-0000ARQ0600 / DE-I726418001-0000ARQ0601 / DE-I726418001-0000ARQ0602 / DE-I726418001-0000ARQ0603 / DE-I726418001-0000ARQ0604</t>
  </si>
  <si>
    <t>Ver prancha DE-I726418001-0000ARQ0588(PDG2)</t>
  </si>
  <si>
    <t>Ver prancha DE-I726418001-0000ARQ0588 (PT1)</t>
  </si>
  <si>
    <t>Ver prancha DE-I726418001-0000ARQ0588 (PT2)</t>
  </si>
  <si>
    <t>Ver prancha DE-I726418001-0000ARQ0597 (CF1)</t>
  </si>
  <si>
    <t>Ver prancha DE-I726418001-0000ARQ0597 (CF2)</t>
  </si>
  <si>
    <t>Ver prancha DE-I726418001-0000ARQ0597</t>
  </si>
  <si>
    <t>Ver prancha DE-I726418001-0000ARQ0597 (JC1)</t>
  </si>
  <si>
    <t>Ver prancha DE-I726418001-0000ARQ0597 (JC2)</t>
  </si>
  <si>
    <t>Ver prancha DE-I726418001-0000ARQ0597 (JC3)</t>
  </si>
  <si>
    <t>Ver prancha DE-I726418001-0000ARQ0597 (JC4 E JEX)</t>
  </si>
  <si>
    <t>Ver prancha DE-I726418001-0000ARQ0597 (JC5)</t>
  </si>
  <si>
    <t>Ver prancha DE-I726418001-0000ARQ0598</t>
  </si>
  <si>
    <t>Ver prancha DE-I726418001-0000TUB0531</t>
  </si>
  <si>
    <t>Ver prancha DE-I726418001-0000ARQ0529</t>
  </si>
  <si>
    <t>Ver prancha DE-I726418001-0000ARQ0589 (213,04m²+77,99m²)</t>
  </si>
  <si>
    <t>Ver prancha DE-I726418001-0000ARQ0589 (área total de pisos)</t>
  </si>
  <si>
    <t>VER prancha DE-I726418001-0000ARQ0601</t>
  </si>
  <si>
    <t>Extraído da planilha de quantificação hidrossanitária</t>
  </si>
  <si>
    <t>Extraído da planilha de quantificação elétrica</t>
  </si>
  <si>
    <t>13.32</t>
  </si>
  <si>
    <t>ELETROCALHA LISA OU PERFURADA EM AÇO GALVANIZADO 150 x 50 MM,  TIPO ''U'', COM TAMPA – FORNECIMENTO E INSTALAÇÃO</t>
  </si>
  <si>
    <t>https://www.palmetal.com.br/expurgo-palmetal-modelo-em</t>
  </si>
  <si>
    <t>PMA ELE 046</t>
  </si>
  <si>
    <t>https://www.leroymerlin.com.br/torneira-clinica-hospitalar-mesa-alavanca-cotovelo-bica-alta_1567150681?term=torneira+cotovelo&amp;searchTerm=torneira+cotovelo&amp;searchType=quickProduct</t>
  </si>
  <si>
    <t>https://www.certiva.com.br/copia-de-torneira-clinica-de-alavanca-mesa-acionamento-superior-25-cm-06921</t>
  </si>
  <si>
    <t>https://www.cassol.com.br/torneira-clinica-hospitalar-mesa-alavanca-cotovelo-bica-alta-100287850/p</t>
  </si>
  <si>
    <t>https://www.leroymerlin.com.br/torneira-clinica-hospitalar-parede-fixa-alavanca-cotovelo_1567880246?term=TORNEIRA+CLINICA+PAREDE&amp;searchTerm=TORNEIRA+CLINICA+PAREDE&amp;searchType=quickProduct</t>
  </si>
  <si>
    <t>https://www.cassol.com.br/torneira-clinica-hospitalar-parede-fixa-alavanca-cotovelo-100291745/p</t>
  </si>
  <si>
    <t>https://www.certiva.com.br/torneira-clinica-de-parede-alavanca-bica-movel-proflux-07469</t>
  </si>
  <si>
    <t>CNPJ/SITE</t>
  </si>
  <si>
    <t>EMPRESA</t>
  </si>
  <si>
    <t>https://livencasa.com/Barra-de-Apoio-Conforto-40cm-Polido-Deca?utm_source=google&amp;utm_medium=cpc&amp;utm_campaign=17444549690&amp;utm_term=&amp;utm_content={adsetid}&amp;device=c&amp;gclid=CjwKCAjw6MKXBhA5EiwANWLODMNhiUVCPEih3boXlHFIFJWW4kz30JibrVen0LIn0QefjsNB4KHuexoCfFoQAvD_BwE</t>
  </si>
  <si>
    <t>https://www.condec.com.br/barra-de-apoio-40cm-conforto-branca-aco-polido-deca?parceiro=3621&amp;gclid=CjwKCAjw6MKXBhA5EiwANWLODKWLrQIzpqsPxTjoBEt5zM7K0aA01rqwmVlem5Z7KUhLIFNRQTlIsBoC_30QAvD_BwE</t>
  </si>
  <si>
    <t>AMERICANAS</t>
  </si>
  <si>
    <t>LIVEN</t>
  </si>
  <si>
    <t>CONDEC</t>
  </si>
  <si>
    <t>LEROY MERLIN</t>
  </si>
  <si>
    <t>CERTIVA</t>
  </si>
  <si>
    <t>CASSOL</t>
  </si>
  <si>
    <t>QDG-N (DISTRIBUIÇÃO)  - QUADRO DE DISTRIBUIÇÃO DE ENERGIA EM CHAPA DE AÇO GALVANIZADO, DE EMBUTIR, COM BARRAMENTO TRIFÁSICO, PARA 30 DISJUNTORES DIN 150A - FORNECIMENTO E INSTALAÇÃO. AF_10/2020</t>
  </si>
  <si>
    <t>LOJA ELÉTRICA LTDA</t>
  </si>
  <si>
    <t>SANTIL</t>
  </si>
  <si>
    <t>ELETROLUZ</t>
  </si>
  <si>
    <t>TOP POWER MATERIAIS</t>
  </si>
  <si>
    <t>ALUMINIO ALURE</t>
  </si>
  <si>
    <t>MULTI MEGA</t>
  </si>
  <si>
    <t>TAKEI</t>
  </si>
  <si>
    <t>EXTRA</t>
  </si>
  <si>
    <t>SOLUCENTER</t>
  </si>
  <si>
    <t>ABAFIRE</t>
  </si>
  <si>
    <t>SEMPRE IoT</t>
  </si>
  <si>
    <t>ESTRONIC</t>
  </si>
  <si>
    <t>DR.LED</t>
  </si>
  <si>
    <t>ELETRO PAULO</t>
  </si>
  <si>
    <t>JABU</t>
  </si>
  <si>
    <t>PALMETAL MÓVEIS EM INOX</t>
  </si>
  <si>
    <t>13.100</t>
  </si>
  <si>
    <t>13.101</t>
  </si>
  <si>
    <t>13.102</t>
  </si>
  <si>
    <t>13.103</t>
  </si>
  <si>
    <t>13.104</t>
  </si>
  <si>
    <t>13.105</t>
  </si>
  <si>
    <t>13.106</t>
  </si>
  <si>
    <t>13.107</t>
  </si>
  <si>
    <t>13.108</t>
  </si>
  <si>
    <t>REDE LÓGICA E TELEFONIA</t>
  </si>
  <si>
    <t>BARRA DE APOIO RETA, EM ACO INOX POLIDO, COMPRIMENTO 40CM, DIAMETRO MINIMO 3 CM  (DECA)</t>
  </si>
  <si>
    <t>Extraído da planilha de quantificação PQ-I726418001-0000TIC0512-R5</t>
  </si>
  <si>
    <t>LUMINÁRIA QUADRADA DE EMBUTIR, COM LED DE 9W TOTAL E EMISSÃO DE LUZ NA COR BRANCO NEUTRO 4000K ( ± 200) IRC&gt;80. ABA EM POLÍMERO INJETADO NA COR BRANCA. REFLETOR EM CHAPA DE AÇO COM PINTURA ELETROSTÁTICA NA COR BRANCA. DIFUSOR RECUADO TRANSLÚCIDO, INCLUSIVE AS LÂMPADAS</t>
  </si>
  <si>
    <t>PMA ELE 047</t>
  </si>
  <si>
    <t>EMENDA PARA ELETROCALHA, LISA OU PERFURADA EM AÇO GALVANIZADO, LARGURA DE100MM E ALTURA DE 50MM - FORNECIMENTO E INSTALAÇÃO.</t>
  </si>
  <si>
    <t>EMENDA LISA, EM CHAPA DE ACO GALVANIZADO, LARGURA X ALTURA = 100 MM X 50 MM</t>
  </si>
  <si>
    <t>PARAFUSO ZINCADO, SEXTAVADO, COM ROSCA INTEIRA, DIAMETRO 1/4", COMPRIMENTO 1/2"</t>
  </si>
  <si>
    <t>PMA ELE 048</t>
  </si>
  <si>
    <t>ELETROCALHA LISA OU PERFURADA EM AÇO GALVANIZADO 100 x 50 MM,  TIPO ''U'', COM TAMPA, INCLUSIVE EMENDA – FORNECIMENTO E INSTALAÇÃO</t>
  </si>
  <si>
    <t>ELETROCALHA LISA OU PERFURADA EM CHAPA DE ACO GALVANIZADO, LARGURA 100 MM E ALTURA 50 MM, ESPESSURA #20</t>
  </si>
  <si>
    <t>EMENDA PARA ELETROCALHA, LISA OU PERFURADA EM AÇO GALVANIZADO, LARGURA 100MM E ALTURA 50MM - FORNECIMENTO E INSTALAÇÃO. AF_09/2016</t>
  </si>
  <si>
    <t>PMA ELE 049</t>
  </si>
  <si>
    <t>ESCAVAÇÃO MANUAL DE VALAS COM PROFUNDIDADE MENOR OU IGUAL A 1,30 M. (0,5 X0,7 = profundidade x largura)</t>
  </si>
  <si>
    <t>M³</t>
  </si>
  <si>
    <t>PREPARO DE FUNDO DE VALA COM LARGURA MENOR QUE 1,5 M (ACERTO DO SOLO NATURAL</t>
  </si>
  <si>
    <t>CONCRETO MAGRO PARA LASTRO, TRAÇO 1:4,5:4,5 (EM MASSA SECA DE CIMENTO/ AREIA MÉDIA/ BRITA 1) - PREPARO MECÂNICO COM BETONEIRA 400 L. - ESPESSURA DE 5 CM</t>
  </si>
  <si>
    <t xml:space="preserve">ALVENARIA DE VEDAÇÃO DE BLOCOS CERÂMICOS FURADOS NA HORIZONTAL DE 9X14 X19CM (ES-PESSURA 9CM) DE PAREDES E ARGAMASSA DE ASSENTAMENTO COM PREPARO EM BETONEIRA. </t>
  </si>
  <si>
    <t>ALVENARIA DE VEDAÇÃO DE BLOCOS CERÂMICOS FURADOS NA HORIZONTAL DE 9X14X19CM (ESP= 14CM) DE PAREDES E ARGAMASSA DE ASSENTAMENTO COM PREPARO EM BETONEIRA.</t>
  </si>
  <si>
    <t>CHAPISCO APLICADO EM ALVENARIA (SEM PRESENÇA DE VÃOS) E ESTRUTURAS DE CONCRETO DE FACHADA, COM COLHER DE PEDREIRO. ARGAMASSA TRAÇO 1:3 COM PREPARO EM BETONEIRA 400L.</t>
  </si>
  <si>
    <t>MASSA ÚNICA, PARA RECEBIMENTO DE PINTURA, EM ARGAMASSA TRAÇO 1:2:8, PREPARO MECÂNICO COM BETONEIRA 400L, APLICADA MANUALMENTE EM FACES INTERNAS DE PAREDES, ESPESSURA DE 20MM, COM EXECUÇÃO DE TALISCAS.</t>
  </si>
  <si>
    <t>CONCRETO FCK = 20MPA, TRAÇO 1:2,6:2,9 (EM MASSA SECA DE CIMENTO/ AREIA MÉDIA/ SEIXO ROLADO) - PREPARO MECÂNICO COM BETONEIRA 400 L - CONCRETAGEM DE LAJE MACIÇA  E=8CM LARGURA 60CM SOBRE A PAREDE DE TIJOLOS</t>
  </si>
  <si>
    <t>APLICAÇÃO DE FUNDO SELADOR ACRÍLICO EM PAREDES UMA DEMÃO</t>
  </si>
  <si>
    <t>APLICAÇÃO MANUAL DE PINTURA COM TINTA LÁTEX ACRÍLICA EM PAREDES, DUAS DEMÃOS</t>
  </si>
  <si>
    <t xml:space="preserve">QUADRO DE DISTRIBUIÇÃO DE ENERGIA EM CHAPA DE AÇO GALVANIZADO, DE EMBUTIR, COM BARRAMENTO TRIFÁSICO, PARA 12 DISJUNTORES DIN 100A - FORNECIMENTO E INSTALAÇÃO. </t>
  </si>
  <si>
    <t>PMA ELE 050</t>
  </si>
  <si>
    <t>OPERADOR DE GUINDASTE COM ENCARGOS COMPLEMENTARES</t>
  </si>
  <si>
    <t>GUINDAUTO HIDRÁULICO, CAPACIDADE MÁXIMA DE CARGA 3300 KG, MOMENTO MÁXIMO DE CARGA 5,8 TM, ALCANCE MÁXIMO HORIZONTAL 7,60 M, INCLUSIVE CAMINHÃO TOCO PBT 16.000 KG, POTÊNCIA DE 189 CV - CHP DIURNO. AF_03/2016</t>
  </si>
  <si>
    <t>POSTE DE CONCRETO ARMADO DE SECAO DUPLO T, EXTENSAO DE 9,00 M, RESISTENCIA DE ARMADO DE SECAO DUPLO T, 300 A 400 DAN, TIPO B OU D</t>
  </si>
  <si>
    <t xml:space="preserve">ARAME GALVANIZADO, TÊMPERA-MOLE BITOLA Nº 14 BWG - 2,10MM - 27,20 G/M </t>
  </si>
  <si>
    <t>ARMACAO VERTICAL C/ HASTE E CONTRA-PINO EM CHAPA DE FERRO GALV 3/16" C/ 1 ESTRIBO E 1 ISOLADOR"</t>
  </si>
  <si>
    <t>ISOLADOR TIPO ROLDANA, DIM Ø76X79MM, DIÂMETRO DO PESCOÇO 45MM, FABRICADO EM PORCELANA ACABAMENTO VITRIFICADO NA COR MARROM</t>
  </si>
  <si>
    <t>PARAFUSO, TIPO MÁQUINA, CABEÇA QUADRADA, AÇO GALV, ROSCA M16X2 TOTAL, COMPRIMENTO 300MM, FORNECIDO COM 1 PORCA QUADRADA</t>
  </si>
  <si>
    <t>ELETRODUTO DE PVC RIGIDO ROSCAVEL DE 3 ", SEM LUVA</t>
  </si>
  <si>
    <t>CURVA 90 GRAUS, LONGA, DE PVC RIGIDO ROSCAVEL, DE 3", PARA ELETRODUTO</t>
  </si>
  <si>
    <t>CABEÇOTE DE ALUMÍNIO FUNDIDO, P/ ELETRODUTO DE Ø 3"</t>
  </si>
  <si>
    <t>LUVA, PVC RÍGIDO, COR PRETA, ROSCÁVEL, PARA DIÃMETRO Ø 3"</t>
  </si>
  <si>
    <t>BUCHA EM ALUMINIO, COM ROSCA, DE 3", PARA ELETRODUTO</t>
  </si>
  <si>
    <t>ARRUELA EM ALUMINIO, COM ROSCA, DE 3", PARA ELETRODUTO</t>
  </si>
  <si>
    <t>DISJUNTOR TERMOMAGNETICO TRIPOLAR 200A</t>
  </si>
  <si>
    <t>CABO DE COBRE, ISOLAMENTO P/ 0,6/1KV, FLEXÍVEL, SEÇÃO 95MM²</t>
  </si>
  <si>
    <t>CABO MULTIPLEX, FORMAÇÃO #3X50+50MM², ISOLAMENTO TERMOPLASTICO P/ 0,6/1KV</t>
  </si>
  <si>
    <t>ALÇA PREFORMADA PARA CABO MULTIPLEX #3X50+50MM²</t>
  </si>
  <si>
    <t>CAIXA PARA MEDIDOR POLIFASICO, EM POLICARBONATO / TERMOPLASTICO, PARA ALOJAR 1 DISJUNTOR (PADRAO DA CONCESSIONARIA LOCAL)</t>
  </si>
  <si>
    <t>CONECTOR PARALELO UNIVERSAL, ALUMÍNIO EXTRUDADO, P/ COMDUTORES DE AL/CU SEÇÕES 13-53MM², 2 PARAFUSOS TIPO FRANCÊS, CABEÇA REDONDA ABAULADA, 2 ARRUELAS DE PRESSÃO E 2 PORCAS SEXTAVADAS EM AÇO GALVANIZADO, EQUIVALENTE AO MOD GPAL-49-2B DA INTELLI</t>
  </si>
  <si>
    <t>FIO, COBRE NU, TÊMPERA MEIO DURO, SEÇÃO 16MM², SÓLIDO</t>
  </si>
  <si>
    <t>TERMINAL A COMPRESSAO EM COBRE ESTANHADO P/ CABO 50MM²</t>
  </si>
  <si>
    <t>PMA ELE 051</t>
  </si>
  <si>
    <t>PMA ELE 052</t>
  </si>
  <si>
    <t>TE HORIZONTAL 90 GRAUS PARA ELETROCALHA EM CHAPA DE ACO GALVANIZADO 100 X 50 MM, ESPESSURA #20</t>
  </si>
  <si>
    <t>PMA ELE 053</t>
  </si>
  <si>
    <t>LUMINÁRIA PENDENTE OU DE SOBREPOR COM LED 18W E EMISSÃO DE LUZ NA COR BRANCO NEUTRO 4000K ( ± 200 ). CORPO EM POLICARBONATO INJETADO. REFLETOR EM CHAPA GALVANIZADA COM ACABAMENTO EM PINTURA ELETROSTÁTICA BRANCA . DIFUSOR EM POLICARBONATO INJETADO TRANSLÚCIDO DE ALTO IMPACTO COM ACABAMENTO INTERNO PRISMÁTICO E EXTERNO LISO ESTABILIZADO PARA RAIOS UV. VEDAÇÃO EM GEL SILICONE CONTINUO E GRAU DE PROTEÇÃO IP-65. POSSUI  FECHOS E PRENSA-CABO INJETADOS EM NYLON (PARA CABOS DE 0 6 A 12 MM). IRC&gt;80. INSTALAÇÃO EM PERFILADO POR SUSPENSÃO TIPO GANCHO 1-14 (NÃO INCLUSOS). DRIVER INCLUSO , INSTALADO DENTRO DA LUMINARIA, INCLUSIVE AS LÂMPADAS</t>
  </si>
  <si>
    <t>COMPOSIÇÃO DEFINIDA PELO PROJETISTA</t>
  </si>
  <si>
    <t>https://www.clarezo.com.br/carrinho/index</t>
  </si>
  <si>
    <t>https://www.iluminim.com.br/carrinho/index</t>
  </si>
  <si>
    <t>https://www.blight.com.br/luminarias/embutidos/embutido-led-newline-590led4-slim-ii-15w-4000k-biv-227x227mm?gclid=EAIaIQobChMIzYLL3dm5-QIVESSRCh3Qhgc6EAQYAiABEgItPfD_BwE&amp;variant_id=5851</t>
  </si>
  <si>
    <t>https://www.dimensional.com.br/checkout/#/cart</t>
  </si>
  <si>
    <t>ELETROCALHA LISA OU PERFURADA EM AÇO GALVANIZADO 150 x 50 MM,  TIPO ''U'', COM TAMPA</t>
  </si>
  <si>
    <t>43.486.604/0001-00</t>
  </si>
  <si>
    <t>https://rceletrica.com.br/</t>
  </si>
  <si>
    <t>http://www.infraeletrocalhas.com.br/eletrocalhas.asp</t>
  </si>
  <si>
    <t>ELETROCALHA LISA OU PERFURADA EM AÇO GALVANIZADO 200 x 50 MM,  TIPO ''U'', COM TAMPA</t>
  </si>
  <si>
    <t>37.470.911/0001-92</t>
  </si>
  <si>
    <t>EMENDA LISA, EM CHAPA DE ACO GALVANIZADO, LARGURA X ALTURA = 150 MM X 50 MM</t>
  </si>
  <si>
    <t>EMENDA EM CHAPA DE ACO GALVANIZADO PARA ELETROCALHA, FORTAMO U, 200 X 50 MM, ESPESSURA # 20</t>
  </si>
  <si>
    <t>ELETROCALHA LISA OU PERFURADA EM AÇO GALVANIZADO, LARGURA 100MM E ALTURA 50MM</t>
  </si>
  <si>
    <t>TÊ HORIZONTAL 90 GRAUS 200X 200 MM PARA ELETROCALHA LISA OU PERFURADA EM AÇO GALVANIZADO</t>
  </si>
  <si>
    <t>CURVA HORIZONTAL 90 GRAUS 150 X 50 MM PARA ELETROCALHA LISA OU PERFURADA EM AÇO GALVANIZADO</t>
  </si>
  <si>
    <t>https://www.emidiopais.com.br/checkout/cart?session_id=o07qp53m9o6o1mhp5hn5dbb575&amp;store_id=917841#carrinho</t>
  </si>
  <si>
    <t>LUMINÁRIA QUADRADA DE EMBUTIR, COM LED DE 9W TOTAL E EMISSÃO DE LUZ NA COR BRANCO NEUTRO 4000K ( ± 200) IRC&gt;80. ABA EM POLÍMERO INJETADO NA COR BRANCA. REFLETOR EM CHAPA DE AÇO COM PINTURA ELETROSTÁTICA NA COR BRANCA. DIFUSOR RECUADO TRANSLÚCIDO, INCLUSIVE AS LÂMPADAS - FORNECIMENTO E INSTALAÇÃO.</t>
  </si>
  <si>
    <t>LUMINÁRIA PENDENTE OU DE SOBREPOR COM LED 18W E EMISSÃO DE LUZ NA COR BRANCO NEUTRO 4000K ( ± 200 ). CORPO EM POLICARBONATO INJETADO. REFLETOR EM CHAPA GALVANIZADA COM ACABAMENTO EM PINTURA ELETROSTÁTICA BRANCA . DIFUSOR EM POLICARBONATO INJETADO TRANSLÚCIDO DE ALTO IMPACTO COM ACABAMENTO INTERNO PRISMÁTICO E EXTERNO LISO ESTABILIZADO PARA RAIOS UV. VEDAÇÃO EM GEL SILICONE CONTINUO E GRAU DE PROTEÇÃO IP-65. POSSUI  FECHOS E PRENSA-CABO INJETADOS EM NYLON (PARA CABOS DE 0 6 A 12 MM). IRC&gt;80. INSTALAÇÃO EM PERFILADO POR SUSPENSÃO TIPO GANCHO 1-14 (NÃO INCLUSOS). DRIVER INCLUSO , INSTALADO DENTRO DA LUMINARIA, INCLUSIVE AS LÂMPADAS - FORNECIMENTO E INSTALAÇÃO.</t>
  </si>
  <si>
    <t>13.111</t>
  </si>
  <si>
    <t>13.112</t>
  </si>
  <si>
    <t>13.109</t>
  </si>
  <si>
    <t>13.110</t>
  </si>
  <si>
    <t>20.5</t>
  </si>
  <si>
    <t>TXKM</t>
  </si>
  <si>
    <t>20.7</t>
  </si>
  <si>
    <t>20.8</t>
  </si>
  <si>
    <t>20.9</t>
  </si>
  <si>
    <t>SIRENE AUDIOVISUAL DE EMERGÊNCIA E ALARME DE SANITÁRIO PNE COM FIO COM LED DE ALTO BRILHO (10MM) EM EM TUBO DE XENON, FREQUÊNCIA DE 150 FLASHES POR MINUTO, SINALIZAÇÃO "EMERGÊNCIA" ESCRITO EM VERMELHO DE SINALZIAÇÃO DE "PNE", ALERTA ESTROBOSCÓPICO, 40 LUMENS, 90DB A 1 METRO DA FONTE, 110 METROS EM ÁREAS SILENCIOSAS, TOQUE OSCILANTE, CAIXA EM PLÁSTICO ABS, NA COR BRANCA, IP32, 127/220V BIVOLT 0,35A ALIEMNTAÇÃO ATRAVES DE DOIS FIOS PARA LIGAÇÃO AO COMANDO</t>
  </si>
  <si>
    <t>CLAREZO</t>
  </si>
  <si>
    <t>COT 010</t>
  </si>
  <si>
    <t>COT 011</t>
  </si>
  <si>
    <t>COT 012</t>
  </si>
  <si>
    <t>COT 013</t>
  </si>
  <si>
    <t>COT 014</t>
  </si>
  <si>
    <t>COT 015</t>
  </si>
  <si>
    <t>ELETROFIOS MATERIAIS ELÉTRICOS</t>
  </si>
  <si>
    <t>ILUMINA ILUMINAÇÃO E INSTALAÇÃO</t>
  </si>
  <si>
    <t>B LIGHT</t>
  </si>
  <si>
    <t>DIMENSIONAL</t>
  </si>
  <si>
    <t>ELECON INDÚSTRIA E COMÉRCIO LTDA.</t>
  </si>
  <si>
    <t>INFRA ELETROCALHAS</t>
  </si>
  <si>
    <t>EMÍDIO PAIS</t>
  </si>
  <si>
    <t>EMENDA PARA ELETROCALHA, LISA OU PERFURADA EM AÇO GALVANIZADO, LARGURA 150MM E ALTURA 50MM - FORNECIMENTO E INSTALAÇÃO</t>
  </si>
  <si>
    <t>ELETROCALHA LISA OU PERFURADA EM CHAPA DE ACO GALVANIZADO, LARGURA 150 MM E ALTURA 50 MM, ESPESSURA # 20</t>
  </si>
  <si>
    <t>BASEADO NA COMPOSIÇÃO SINAPI: 97240</t>
  </si>
  <si>
    <t>ELETROCALHA LISA 150 x 50 MM,  TIPO ''U'', COM TAMPA – FORNECIMENTO E INSTALAÇÃO</t>
  </si>
  <si>
    <t>BASEADO NA COMPOSIÇÃO SINAPI.: 97258</t>
  </si>
  <si>
    <t>BASEADO NA COMPOSIÇÃO SINAPI: 97241</t>
  </si>
  <si>
    <t>BASEADO NA COMPOSIÇÃO SINAPI CÓD. 97284</t>
  </si>
  <si>
    <t>BASEADO NA COMPOSIÇÃO CÓD. 91927 SINAPI</t>
  </si>
  <si>
    <t>BASEADO NA COMPOSIÇÃO CÓD. 96974 SINAPI</t>
  </si>
  <si>
    <t>BASEADO NA COMPOSIÇÃO CÓD. 101880 SINAPI</t>
  </si>
  <si>
    <t>BASEADO NA COMPOSIÇÃO CÓD. 93659 SINAPI</t>
  </si>
  <si>
    <t>BASEADO NA COMPOSIÇÃO CÓD. 101881 SINAPI</t>
  </si>
  <si>
    <t>BASEADO NA COMPOSIÇÃO CÓD. 101895 SINAPI</t>
  </si>
  <si>
    <t>BASEADO NA COMPOSIÇÃO CÓD. 100905 SINAPI</t>
  </si>
  <si>
    <t>]</t>
  </si>
  <si>
    <t>ÉDEINOX</t>
  </si>
  <si>
    <t>PROJINOX</t>
  </si>
  <si>
    <t>26.075.470/0001-08</t>
  </si>
  <si>
    <t>03.872.011/0001-50</t>
  </si>
  <si>
    <t>PAINEL DE ALARME DE PRESSÃO DE GASES (PROTEC)</t>
  </si>
  <si>
    <t>06.189.855/0001-99</t>
  </si>
  <si>
    <t>MEDSYSTEM</t>
  </si>
  <si>
    <t>06.103.122/0002-70</t>
  </si>
  <si>
    <t>MAGAZINE MÉDICA.COM</t>
  </si>
  <si>
    <t>13.677.804/0001-71</t>
  </si>
  <si>
    <t>MEDICAL FAST</t>
  </si>
  <si>
    <t>COT 021</t>
  </si>
  <si>
    <t>COT 022</t>
  </si>
  <si>
    <t>COT 023</t>
  </si>
  <si>
    <t>COT 024</t>
  </si>
  <si>
    <t>COT 025</t>
  </si>
  <si>
    <t>COT 026</t>
  </si>
  <si>
    <t>BASEADO NA COMPOSIÇÃO SINAPI CÓD. 98111</t>
  </si>
  <si>
    <t>BASEADO NA COMPOSIÇÃO SINAPI CÓD. 100561</t>
  </si>
  <si>
    <t>BASEADO NA COMPOSIÇÃO SINAPI CÓD. 97251</t>
  </si>
  <si>
    <t>TE DE REDUCAO, PVC, SOLDAVEL, 90 GRAUS, 40 MM X 25 MM, PARA AGUA FRIA PREDIAL (AMANCO)</t>
  </si>
  <si>
    <t>https://www.ferramentaskennedy.com.br/100052030/te-reducao-soldavel-amanco-40x25mm?utm_source=google&amp;utm_medium=cpc&amp;utm_campaign=google_shop&amp;gclid=CjwKCAjw6MKXBhA5EiwANWLODHKNo1EoXbbavL2oDkNRC_5JP5bt9eLNY8Kz5LNBjS6XAtJVskuo2BoCJqoQAvD_BwE</t>
  </si>
  <si>
    <t>FERRAMENTAS KENNEDY</t>
  </si>
  <si>
    <t>https://www.hidroja.com/produto/amanco-soldavel-mr-te-de-reducao-soldavel-40x25-mm.html?utm_source=Site&amp;utm_medium=GoogleMerchant&amp;utm_campaign=GoogleMerchant&amp;gclid=CjwKCAjw6MKXBhA5EiwANWLODL61oq8QScTvfAVPjgu34Btrbz8RdBNvmS4O1BfQta0r6opQq2oKthoCUVcQAvD_BwE</t>
  </si>
  <si>
    <t>HIDROJÁ</t>
  </si>
  <si>
    <t>https://www.acquafort.com.br/tereducaosoldavel40x25mmamanco/p?idsku=4271&amp;gclid=CjwKCAjw6MKXBhA5EiwANWLODEly2qIKVt28GWh9uhz4gMpniaONulr0Fzf_hmcs5u3Pa6ziUOLOnhoCDacQAvD_BwE</t>
  </si>
  <si>
    <t>ACQUAFORT</t>
  </si>
  <si>
    <t>COT 027</t>
  </si>
  <si>
    <t>COTOVELO RETO 90º PARA ELETROCALHA, LISA OU PERFURADA EM AÇO GALVANIZADO, LARGURA DE 100MM E ALTURA DE 50MM - FORNECIMENTO E INSTALAÇÃO. AF_09/2016</t>
  </si>
  <si>
    <t>TÊ HORIZONTAL 90º, PARA ELETROCALHA, LISA OU PERFURADA EM AÇO GALVANIZADO, LARGURA DE 100MM E ALTURA DE 50MM - FORNECIMENTO E INSTALAÇÃO. AF_09/2016</t>
  </si>
  <si>
    <t>COMPOSIÇÃO DO BDI</t>
  </si>
  <si>
    <t>ELETROCALHA LISA OU PERFURADA EM CHAPA DE ACO GALVANIZADO, LARGURA 100 MM E ALTURA 50 MM, ESPESSURA # 20</t>
  </si>
  <si>
    <t>ELETROCALHA LISA OU PERFURADA EM AÇO GALVANIZADO, LARGURA 100MM E ALTURA 50MM, INCLUSIVE EMENDA E FIXAÇÃO - FORNECIMENTO E INSTALAÇÃO. AF_09/2016</t>
  </si>
  <si>
    <t>COTOVELO RETO  90° EM CHAPA DE AÇO GALVANIZADO 100 X 50 MM</t>
  </si>
  <si>
    <t>COT 028</t>
  </si>
  <si>
    <t>COT 029</t>
  </si>
  <si>
    <t>COT 030</t>
  </si>
  <si>
    <t>33.890.737/0001-86</t>
  </si>
  <si>
    <t>RC ELÉTRICA LTDA</t>
  </si>
  <si>
    <t>TOMADA MÉDIA DE EMBUTIR (2 MÓDULOS), 2P+T 10 A, INCLUINDO SUPORTE E PLACA - FORNECIMENTO E INSTALAÇÃO. AF_12/2016</t>
  </si>
  <si>
    <t>TOMADA MÉDIA DE EMBUTIR (2 MÓDULOS), 2P+T 20 A, INCLUINDO SUPORTE E PLACA - FORNECIMENTO E INSTALAÇÃO. AF_12/2016</t>
  </si>
  <si>
    <t>Extraído da prancha DE-I7264IE800IE-0000ELE0527</t>
  </si>
  <si>
    <t>Comprimento do gabarito com tábuas corridas a ser instalado na obra</t>
  </si>
  <si>
    <t>Extremidadades do terreno e da construção</t>
  </si>
  <si>
    <t>Perímetro da construção: 123 metros * altura: 2,5 metros</t>
  </si>
  <si>
    <t>MURETA EM ALVENARIA  (C x A x L = 1,5 x 2 x 0,50m) PARA INSTALAÇÃO DA CAIXA MEDIDORA  DE ENERGIA =&gt; (2X E=14CM + 2X E=9CM )</t>
  </si>
  <si>
    <t>QT-NB-1 - QUADRO DE DISTRIBUIÇÃO DE ENERGIA EM CHAPA DE AÇO GALVANIZADO, DE EMBUTIR, COM BARRAMENTO TRIFÁSICO, PARA 12 DISJUNTORES DIN 100A - FORNECIMENTO E INSTALAÇÃO. AF_10/2020</t>
  </si>
  <si>
    <t>TOMADA ALTA DE EMBUTIR (1 MÓDULO), 2P+T 20 A, INCLUINDO SUPORTE E PLACA - FORNECIMENTO E INSTALAÇÃO. AF_12/2015</t>
  </si>
  <si>
    <t>Número de ar condicionado + 1 unidade</t>
  </si>
  <si>
    <t>13.113</t>
  </si>
  <si>
    <t>13.114</t>
  </si>
  <si>
    <t>13.115</t>
  </si>
  <si>
    <t>13.116</t>
  </si>
  <si>
    <t>piso externo (430,67m²) - entrada da ambulância (51,66m²) * 0,06m</t>
  </si>
  <si>
    <t>REATERRO MANUAL APILOADO COM SOQUETE.</t>
  </si>
  <si>
    <t>TRANSPORTE COM CAMINHÃO CARROCERIA 9T, EM VIA URBANA EM REVESTIMENTO PRIMÁRIO (ARIPUANÃ A CONSELVAN: 80KM). AF_07/2020  - ESTRUTURA METÁLICA</t>
  </si>
  <si>
    <t>Peso do material multiplicado pela distância média de transporte: 11,92 toneladas * 80km</t>
  </si>
  <si>
    <t>Peso do material multiplicado pela distância média de transporte: (267,95) *1,5 toneladas *249km</t>
  </si>
  <si>
    <t>Peso do material multiplicado pela distância média de transporte: (3,05+7,95+59,19+114,5+20,44+14,84+6,66+,66+,89+14,6+2,21+16,2+,39+6,37) *1,5 toneladas *50km</t>
  </si>
  <si>
    <t>Peso do material multiplicado pela distância média de transporte: (0,85+8,17+18,19+34,44+137,55+9,55+3,93+1,23+1,86+7,76+0,56+20,85+2,84+1,14+28,66+1,19+55,37+8,85+0,85+4,34+7,78)*1,5 toneladas *80km</t>
  </si>
  <si>
    <t>Peso do material multiplicado pela distância média de transporte: (1,68+5,25+75,57+12,49+9,07+4,07+1,31+0,73+0,36+0,49+3,98+93,49+0,2+0,24+8,9+1,2+0,14+3,89+0,313+0,55) *80km</t>
  </si>
  <si>
    <t>93661</t>
  </si>
  <si>
    <t>93663</t>
  </si>
  <si>
    <t>13.117</t>
  </si>
  <si>
    <t>13.118</t>
  </si>
  <si>
    <t>Ar condicionado 9.000 e 12.000 BTUs</t>
  </si>
  <si>
    <t>Ar condicionado 18.000 BTUs</t>
  </si>
  <si>
    <t>Ar condicionado 24.000 BTUs</t>
  </si>
  <si>
    <t>INTERRUPTOR PARALELO (2 MÓDULOS), 10A/250V, INCLUINDO SUPORTE E PLACA - FORNECIMENTO E INSTALAÇÃO. AF_12/2015</t>
  </si>
  <si>
    <t>DISJUNTOR BIPOLAR TIPO DIN, CORRENTE NOMINAL DE 16A - FORNECIMENTO E INSTALAÇÃO. AF_10/2020 (AR-CONDICIONADO)</t>
  </si>
  <si>
    <t>DISJUNTOR BIPOLAR TIPO DIN, CORRENTE NOMINAL DE 20A - FORNECIMENTO E INSTALAÇÃO. AF_10/2020 (AR-CONDICIONADO)</t>
  </si>
  <si>
    <t>DISJUNTOR BIPOLAR TIPO DIN, CORRENTE NOMINAL DE 25A - FORNECIMENTO E INSTALAÇÃO. AF_10/2020 (AR-CONDICIONADO)</t>
  </si>
  <si>
    <t>TOTAL ÍTEM 20.0</t>
  </si>
  <si>
    <t>TOTAL ÍTEM 19.0</t>
  </si>
  <si>
    <t>TOTAL ÍTEM 18.0</t>
  </si>
  <si>
    <t>TOTAL ÍTEM 17.0</t>
  </si>
  <si>
    <t>TOTAL ÍTEM 16.0</t>
  </si>
  <si>
    <t>TOTAL ÍTEM 15.0</t>
  </si>
  <si>
    <t>TOTAL ÍTEM 14.0</t>
  </si>
  <si>
    <t>TOTAL ÍTEM 13.0</t>
  </si>
  <si>
    <t>TOTAL ÍTEM 12.0</t>
  </si>
  <si>
    <t>TOTAL ÍTEM 11.0</t>
  </si>
  <si>
    <t>TOTAL ÍTEM 10.0</t>
  </si>
  <si>
    <t>TOTAL ÍTEM 9.0</t>
  </si>
  <si>
    <t>TOTAL ÍTEM 8.0</t>
  </si>
  <si>
    <t>TOTAL ÍTEM 7.0</t>
  </si>
  <si>
    <t>TOTAL DO ITEM 6.0</t>
  </si>
  <si>
    <t>TOTAL DO ITEM 5.0</t>
  </si>
  <si>
    <t>TOTAL DO ITEM 4.0</t>
  </si>
  <si>
    <t>TRANSPORTE COM CAMINHÃO BASCULANTE DE 18 M³, EM VIA URBANA EM REVESTIMENTO PRIMÁRIO (ARIPUANÃ A CONSELVAN: 80KM) - AREIA</t>
  </si>
  <si>
    <t>TRANSPORTE COM CAMINHÃO BASCULANTE DE 18 M³, EM VIA URBANA EM REVESTIMENTO PRIMÁRIO (CASTANHEIRA A CONSELVAN: 249KM) - BRITA</t>
  </si>
  <si>
    <t>TRANSPORTE COM CAMINHÃO BASCULANTE DE 18 M³, EM VIA URBANA PAVIMENTADA (JUÍNA A CASTANHEIRA: 50KM) - BRITA</t>
  </si>
  <si>
    <t>TRANSPORTE COM CAMINHÃO BASCULANTE DE 18 M³, EM VIA URBANA EM REVESTIMENTO PRIMÁRIO (ARIPUANÃ A CONSELVAN: 80KM) - CIMENTO</t>
  </si>
  <si>
    <t>Percentual:</t>
  </si>
  <si>
    <t>Valor:</t>
  </si>
  <si>
    <t>Acumulado:</t>
  </si>
  <si>
    <t>TRANSPORTE</t>
  </si>
  <si>
    <t>21.0</t>
  </si>
  <si>
    <t>21.1</t>
  </si>
  <si>
    <t>21.2</t>
  </si>
  <si>
    <t>21.3</t>
  </si>
  <si>
    <t>21.4</t>
  </si>
  <si>
    <t>21.5</t>
  </si>
  <si>
    <t>1.8</t>
  </si>
  <si>
    <t>ATERRO MANUAL DE VALAS COM SOLO ARGILO-ARENOSO E COMPACTAÇÃO MECANIZADA. AF_05/2016</t>
  </si>
  <si>
    <t>Medidas aproximadas: fossas sépticas (3*3*5*3) + espaço na divisa do terremo (1,2*10*40)</t>
  </si>
  <si>
    <t>DRENAGEM</t>
  </si>
  <si>
    <t>12.20</t>
  </si>
  <si>
    <t>12.25</t>
  </si>
  <si>
    <t>12.26</t>
  </si>
  <si>
    <t>12.27</t>
  </si>
  <si>
    <t>12.28</t>
  </si>
  <si>
    <t>12.29</t>
  </si>
  <si>
    <t>12.30</t>
  </si>
  <si>
    <t>12.31</t>
  </si>
  <si>
    <t>12.32</t>
  </si>
  <si>
    <t>12.33</t>
  </si>
  <si>
    <t>12.34</t>
  </si>
  <si>
    <t>12.35</t>
  </si>
  <si>
    <t>12.36</t>
  </si>
  <si>
    <t>12.37</t>
  </si>
  <si>
    <t>12.38</t>
  </si>
  <si>
    <t>12.39</t>
  </si>
  <si>
    <t>12.40</t>
  </si>
  <si>
    <t>12.41</t>
  </si>
  <si>
    <t>12.42</t>
  </si>
  <si>
    <t>12.43</t>
  </si>
  <si>
    <t>12.44</t>
  </si>
  <si>
    <t>HIDRÁULICO</t>
  </si>
  <si>
    <t>SANITÁRIO</t>
  </si>
  <si>
    <t>TUBO PVC, SERIE NORMAL, ESGOTO PREDIAL, DN 40 MM, FORNECIDO E INSTALADO EM RAMAL DE DESCARGA OU RAMAL DE ESGOTO SANITÁRIO. AF_12/2014</t>
  </si>
  <si>
    <t>TUBO PVC, SERIE NORMAL, ESGOTO PREDIAL, DN 50 MM, FORNECIDO E INSTALADO EM RAMAL DE DESCARGA OU RAMAL DE ESGOTO SANITÁRIO. AF_12/2014</t>
  </si>
  <si>
    <t>TUBO PVC, SERIE NORMAL, ESGOTO PREDIAL, DN 100 MM, FORNECIDO E INSTALADO EM RAMAL DE DESCARGA OU RAMAL DE ESGOTO SANITÁRIO. AF_12/2014</t>
  </si>
  <si>
    <t>JOELHO 90 GRAUS, PVC, SERIE NORMAL, ESGOTO PREDIAL, DN 40 MM, JUNTA SOLDÁVEL, FORNECIDO E INSTALADO EM RAMAL DE DESCARGA OU RAMAL DE ESGOTO SANITÁRIO. AF_12/2014</t>
  </si>
  <si>
    <t>JOELHO 90 GRAUS, PVC, SERIE NORMAL, ESGOTO PREDIAL, DN 50 MM, JUNTA ELÁSTICA, FORNECIDO E INSTALADO EM RAMAL DE DESCARGA OU RAMAL DE ESGOTO SANITÁRIO. AF_12/2014</t>
  </si>
  <si>
    <t>CURVA CURTA 90 GRAUS, PVC, SERIE NORMAL, ESGOTO PREDIAL, DN 100 MM, JUNTA ELÁSTICA, FORNECIDO E INSTALADO EM RAMAL DE DESCARGA OU RAMAL DE ESGOTO SANITÁRIO. AF_12/2014</t>
  </si>
  <si>
    <t>JOELHO 45 GRAUS, PVC, SERIE NORMAL, ESGOTO PREDIAL, DN 40 MM, JUNTA SOLDÁVEL, FORNECIDO E INSTALADO EM RAMAL DE DESCARGA OU RAMAL DE ESGOTO SANITÁRIO. AF_12/2014</t>
  </si>
  <si>
    <t>JOELHO 45 GRAUS, PVC, SERIE NORMAL, ESGOTO PREDIAL, DN 50 MM, JUNTA ELÁSTICA, FORNECIDO E INSTALADO EM RAMAL DE DESCARGA OU RAMAL DE ESGOTO SANITÁRIO. AF_12/2014</t>
  </si>
  <si>
    <t>JOELHO 45 GRAUS, PVC, SERIE NORMAL, ESGOTO PREDIAL, DN 100 MM, JUNTA ELÁSTICA, FORNECIDO E INSTALADO EM RAMAL DE DESCARGA OU RAMAL DE ESGOTO SANITÁRIO. AF_12/2014</t>
  </si>
  <si>
    <t>TE, PVC, SERIE NORMAL, ESGOTO PREDIAL, DN 50 X 50 MM, JUNTA ELÁSTICA, FORNECIDO E INSTALADO EM RAMAL DE DESCARGA OU RAMAL DE ESGOTO SANITÁRIO. AF_12/2014</t>
  </si>
  <si>
    <t>TE, PVC, SERIE NORMAL, ESGOTO PREDIAL, DN 100 X 100 MM, JUNTA ELÁSTICA, FORNECIDO E INSTALADO EM RAMAL DE DESCARGA OU RAMAL DE ESGOTO SANITÁRIO. AF_12/2014</t>
  </si>
  <si>
    <t>JUNCAO SIMPLES, PVC, DN 100 X 50 MM, SERIE NORMAL PARA ESGOTO PREDIAL</t>
  </si>
  <si>
    <t>JUNÇÃO SIMPLES, PVC, SERIE NORMAL, ESGOTO PREDIAL, DN 100 X 100 MM, JUNTA ELÁSTICA, FORNECIDO E INSTALADO EM RAMAL DE DESCARGA OU RAMAL DE ESGOTO SANITÁRIO. AF_12/2014</t>
  </si>
  <si>
    <t>JUNÇÃO SIMPLES, PVC, SERIE NORMAL, ESGOTO PREDIAL, DN 50 X 50 MM, JUNTA ELÁSTICA, FORNECIDO E INSTALADO EM RAMAL DE DESCARGA OU RAMAL DE ESGOTO SANITÁRIO. AF_12/2014</t>
  </si>
  <si>
    <t>JUNÇÃO SIMPLES, PVC, SERIE NORMAL, ESGOTO PREDIAL, DN 40 MM, JUNTA SOLDÁVEL, FORNECIDO E INSTALADO EM RAMAL DE DESCARGA OU RAMAL DE ESGOTO SANITÁRIO. AF_12/2014</t>
  </si>
  <si>
    <t>REDUCAO EXCENTRICA PVC P/ ESG PREDIAL DN 100 X 50MM</t>
  </si>
  <si>
    <t>CAIXA SIFONADA, PVC, DN 100 X 100 X 50 MM, JUNTA ELÁSTICA, FORNECIDA E INSTALADA EM RAMAL DE DESCARGA OU EM RAMAL DE ESGOTO SANITÁRIO. AF_12/2014</t>
  </si>
  <si>
    <t>RALO SECO, PVC, DN 100 X 40 MM, JUNTA SOLDÁVEL, FORNECIDO E INSTALADO EM RAMAL DE DESCARGA OU EM RAMAL DE ESGOTO SANITÁRIO. AF_12/2014</t>
  </si>
  <si>
    <t>CAIXA DE GORDURA PEQUENA (CAPACIDADE: 19 L), CIRCULAR, EM PVC, DIÂMETRO INTERNO= 0,3 M. AF_12/2020</t>
  </si>
  <si>
    <t>TERMINAL DE VENTILACAO, 50 MM, SERIE NORMAL, ESGOTO PREDIAL</t>
  </si>
  <si>
    <t>12.45</t>
  </si>
  <si>
    <t>TUBO PVC, SÉRIE R, ÁGUA PLUVIAL, DN 100 MM, FORNECIDO E INSTALADO EM RAMAL DE ENCAMINHAMENTO. AF_06/2022</t>
  </si>
  <si>
    <t>TUBO PVC, SÉRIE R, ÁGUA PLUVIAL, DN 150 MM, FORNECIDO E INSTALADO EM RAMAL DE ENCAMINHAMENTO. AF_06/2022</t>
  </si>
  <si>
    <t>TUBO DE PVC PARA REDE COLETORA DE ESGOTO DE PAREDE MACIÇA, DN 200 MM, JUNTA ELÁSTICA - FORNECIMENTO E ASSENTAMENTO. AF_01/2021</t>
  </si>
  <si>
    <t>12.46</t>
  </si>
  <si>
    <t>RALO FOFO SEMIESFERICO, 100 MM, PARA CALHAS</t>
  </si>
  <si>
    <t>JOELHO 45 GRAUS, PVC, SERIE R, ÁGUA PLUVIAL, DN 150 MM, JUNTA ELÁSTICA, FORNECIDO E INSTALADO EM CONDUTORES VERTICAIS DE ÁGUAS PLUVIAIS. AF_06/2022</t>
  </si>
  <si>
    <t>JOELHO 90 GRAUS, PVC, SERIE R, ÁGUA PLUVIAL, DN 100 MM, JUNTA ELÁSTICA, FORNECIDO E INSTALADO EM CONDUTORES VERTICAIS DE ÁGUAS PLUVIAIS. AF_06/2022</t>
  </si>
  <si>
    <t>JUNÇÃO SIMPLES, PVC, SERIE R, ÁGUA PLUVIAL, DN 150 X 150 MM, JUNTA ELÁSTICA, FORNECIDO E INSTALADO EM RAMAL DE ENCAMINHAMENTO. AF_06/2022</t>
  </si>
  <si>
    <t>12.47</t>
  </si>
  <si>
    <t>12.48</t>
  </si>
  <si>
    <t>SUMIDOURO RETANGULAR, EM ALVENARIA COM BLOCOS DE CONCRETO, DIMENSÕES INTERNAS: 1,6 X 5,8 X H=3,0 M, ÁREA DE INFILTRAÇÃO: 50 M² (PARA 20 CONTRIBUINTES). . AF_12/2020</t>
  </si>
  <si>
    <t>12.49</t>
  </si>
  <si>
    <t>CAIXA ENTERRADA HIDRÁULICA RETANGULAR EM ALVENARIA COM TIJOLOS CERÂMICOS MACIÇOS, DIMENSÕES INTERNAS: 0,6X0,6X0,6 M PARA REDE DE DRENAGEM. AF_12/2020</t>
  </si>
  <si>
    <t>CAIXA ENTERRADA HIDRÁULICA RETANGULAR EM ALVENARIA COM TIJOLOS CERÂMICOS MACIÇOS, DIMENSÕES INTERNAS: 0,8X0,8X0,6 M PARA REDE DE ESGOTO. AF_12/2020</t>
  </si>
  <si>
    <t>CAIXA ENTERRADA HIDRÁULICA RETANGULAR EM ALVENARIA COM TIJOLOS CERÂMICOS MACIÇOS, DIMENSÕES INTERNAS: 0,6X0,6X0,6 M PARA REDE DE ESGOTO. AF_12/2020</t>
  </si>
  <si>
    <t>Ver prancha DE-I726418001-0000ARQ0637</t>
  </si>
  <si>
    <t>12.50</t>
  </si>
  <si>
    <t>12.51</t>
  </si>
  <si>
    <t>TANQUE SÉPTICO RETANGULAR, EM ALVENARIA COM BLOCOS DE CONCRETO, DIMENSÕES INTERNAS: 1,4 X 1,8 X H=3,2 M, VOLUME ÚTIL: 6272 L (PARA 32 CONTRIBUINTES). AF_12/2020</t>
  </si>
  <si>
    <t>NOBREAK TRIFASICO, DE 10 KVA FATOR DE POTENCIA DE 0,8, AUTONOMIA DE 01 HORA A PLENA CARGA - FORNECIMENTO E INSTALAÇÃO</t>
  </si>
  <si>
    <t>POSTE AUXILIAR DE ENERGIA, TRIFÁSICO, COMPLETO COM FERRAGENS E ACESSÓRIOS</t>
  </si>
  <si>
    <t>MURETA EM ALVENARIA  (1,5 x 2,0 x 0,5M) PARA INSTALAÇÃO DA CAIXA MEDIDORA  DE ENERGIA =&gt; (2X  E=14 CM + 2X  E=9CM )</t>
  </si>
  <si>
    <t>PLACA DE OBRA EM CHAPA DE ACO GALVANIZADO - FORNECIMENTO E INSTALAÇÃO</t>
  </si>
  <si>
    <t>PMA HID 021</t>
  </si>
  <si>
    <t>PASTA LUBRIFICANTE PARA TUBOS E CONEXOES COM JUNTA ELASTICA, EMBALAGEM DE *400* GR (USO EM PVC, ACO, POLIETILENO E OUTROS)</t>
  </si>
  <si>
    <t>JUNÇÃO SIMPLES, PVC, SERIE NORMAL, ESGOTO PREDIAL, DN 100 X 50 MM, JUNTA ELÁSTICA, FORNECIDO E INSTALADO EM PRUMADA DE ESGOTO SANITÁRIO OU VENTILAÇÃO. AF_12/2014</t>
  </si>
  <si>
    <t>BASEADO NA COMPOSIÇÃO SINAPI CÓD. 89830</t>
  </si>
  <si>
    <t>PMA HID 022</t>
  </si>
  <si>
    <t>ANEL BORRACHA, DN 100 MM, PARA TUBO SERIE REFORCADA ESGOTO PREDIAL</t>
  </si>
  <si>
    <t>ANEL BORRACHA PARA TUBO ESGOTO PREDIAL, DN 100 MM (NBR 5688)</t>
  </si>
  <si>
    <t>REDUÇÃO EXCÊNTRICA, PVC, SERIE R, ÁGUA PLUVIAL, DN 100 X 50 MM, JUNTA ELÁSTICA, FORNECIDO E INSTALADO EM CONDUTORES VERTICAIS DE ÁGUAS PLUVIAIS. AF_06/2022</t>
  </si>
  <si>
    <t>BASEADO NA COMPOSIÇÃO SINAPI CÓD. 89673</t>
  </si>
  <si>
    <t>ANEL BORRACHA, DN 50 MM, PARA TUBO SERIE REFORCADA ESGOTO PREDIAL</t>
  </si>
  <si>
    <t>Coordenadas: 9°55'38"S 59°54'55"W</t>
  </si>
  <si>
    <t>https://www.eletrosul.com.br/para-raios-spda/presilha-para-cabos-35-a-50mm</t>
  </si>
  <si>
    <t>ELETRO SUL</t>
  </si>
  <si>
    <t>https://produto.mercadolivre.com.br/MLB-3203090862-barra-chata-aluminio-78-x-18-222mm-x-318mm</t>
  </si>
  <si>
    <t>https://www.eletroluz.net/70238/prt-750-barra-chata-aluminio-7-8-x-1-8--x-6m-/</t>
  </si>
  <si>
    <t>https://www.americanas.com.br/produto/2653517357?pfm_carac=barra-de-apoio&amp;pfm_index=14&amp;pfm_page=search&amp;pfm_pos=grid&amp;pfm_type=search_page&amp;offerId=5fd90e550c07044266f9d422</t>
  </si>
  <si>
    <t>https://www.magazineluiza.com.br/disjuntor-em-caixa-moldada-tripolar-90a-spk/p/hdgjaa3f1k/cj/djcm/?&amp;seller_id=spk</t>
  </si>
  <si>
    <t>MAGAZINE LUIZA</t>
  </si>
  <si>
    <t xml:space="preserve"> </t>
  </si>
  <si>
    <t xml:space="preserve">
FLÁVIA MARIA COSTA
ENG. CIVIL - CREA/MT 031403</t>
  </si>
  <si>
    <t>ARIPUANÃ - MT, 04 de Abril de 2023.</t>
  </si>
  <si>
    <t xml:space="preserve">REF.: SINAPI FEV/2023 (DESONERADA)                                      </t>
  </si>
  <si>
    <t>TOTAL ÍTEM 21.0</t>
  </si>
  <si>
    <t>RECONSTRUÇÃO DA UNIDADE BÁSICA DE SAÚDE DO DISTRITO DE CONSELVAN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</si>
</sst>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8" formatCode="&quot;R$&quot;\ #,##0.00;[Red]\-&quot;R$&quot;\ #,##0.00"/>
    <numFmt numFmtId="44" formatCode="_-&quot;R$&quot;\ * #,##0.00_-;\-&quot;R$&quot;\ * #,##0.00_-;_-&quot;R$&quot;\ * &quot;-&quot;??_-;_-@_-"/>
    <numFmt numFmtId="43" formatCode="_-* #,##0.00_-;\-* #,##0.00_-;_-* &quot;-&quot;??_-;_-@_-"/>
    <numFmt numFmtId="164" formatCode="_(* #,##0.00_);_(* \(#,##0.00\);_(* &quot;-&quot;??_);_(@_)"/>
    <numFmt numFmtId="165" formatCode="&quot;R$&quot;\ #,##0.00"/>
    <numFmt numFmtId="166" formatCode="d/m;@"/>
    <numFmt numFmtId="167" formatCode="_(&quot;R$ &quot;* #,##0.00_);_(&quot;R$ &quot;* \(#,##0.00\);_(&quot;R$ &quot;* &quot;-&quot;??_);_(@_)"/>
    <numFmt numFmtId="168" formatCode="0.0%"/>
    <numFmt numFmtId="169" formatCode="0.000"/>
    <numFmt numFmtId="170" formatCode="0.00000"/>
    <numFmt numFmtId="171" formatCode="0.0000"/>
    <numFmt numFmtId="172" formatCode="#,##0.0000"/>
    <numFmt numFmtId="173" formatCode="#,##0.0"/>
    <numFmt numFmtId="174" formatCode="#,##0.0000000"/>
    <numFmt numFmtId="175" formatCode="#,##0.00000"/>
    <numFmt numFmtId="176" formatCode="#,##0.000000"/>
    <numFmt numFmtId="177" formatCode="0.0000000"/>
    <numFmt numFmtId="178" formatCode="0.000%"/>
  </numFmts>
  <fonts count="28" x14ac:knownFonts="1">
    <font>
      <sz val="11"/>
      <color theme="1"/>
      <name val="Calibri"/>
      <family val="2"/>
      <scheme val="minor"/>
    </font>
    <font>
      <sz val="11"/>
      <color theme="1"/>
      <name val="Calibri"/>
      <family val="2"/>
      <scheme val="minor"/>
    </font>
    <font>
      <sz val="10"/>
      <name val="Arial"/>
      <family val="2"/>
    </font>
    <font>
      <sz val="11"/>
      <color rgb="FF000000"/>
      <name val="Calibri"/>
      <family val="2"/>
    </font>
    <font>
      <sz val="11"/>
      <color rgb="FF000000"/>
      <name val="Calibri"/>
      <family val="2"/>
    </font>
    <font>
      <b/>
      <i/>
      <sz val="10"/>
      <color theme="4" tint="-0.499984740745262"/>
      <name val="Times New Roman"/>
      <family val="1"/>
    </font>
    <font>
      <i/>
      <sz val="10"/>
      <color theme="1"/>
      <name val="Times New Roman"/>
      <family val="1"/>
    </font>
    <font>
      <b/>
      <i/>
      <sz val="10"/>
      <color theme="1"/>
      <name val="Times New Roman"/>
      <family val="1"/>
    </font>
    <font>
      <i/>
      <sz val="10"/>
      <name val="Times New Roman"/>
      <family val="1"/>
    </font>
    <font>
      <b/>
      <sz val="10"/>
      <color theme="4" tint="-0.499984740745262"/>
      <name val="Times New Roman"/>
      <family val="1"/>
    </font>
    <font>
      <sz val="10"/>
      <color theme="1"/>
      <name val="Calibri"/>
      <family val="2"/>
      <scheme val="minor"/>
    </font>
    <font>
      <sz val="10"/>
      <color theme="4" tint="-0.499984740745262"/>
      <name val="Times New Roman"/>
      <family val="1"/>
    </font>
    <font>
      <b/>
      <sz val="10"/>
      <color theme="1"/>
      <name val="Times New Roman"/>
      <family val="1"/>
    </font>
    <font>
      <sz val="10"/>
      <color theme="1"/>
      <name val="Times New Roman"/>
      <family val="1"/>
    </font>
    <font>
      <b/>
      <sz val="10"/>
      <name val="Times New Roman"/>
      <family val="1"/>
    </font>
    <font>
      <sz val="10"/>
      <name val="Times New Roman"/>
      <family val="1"/>
    </font>
    <font>
      <sz val="10"/>
      <color rgb="FFFF0000"/>
      <name val="Times New Roman"/>
      <family val="1"/>
    </font>
    <font>
      <sz val="10"/>
      <color rgb="FF000000"/>
      <name val="Times New Roman"/>
      <family val="1"/>
    </font>
    <font>
      <sz val="10"/>
      <color indexed="8"/>
      <name val="Times New Roman"/>
      <family val="1"/>
    </font>
    <font>
      <b/>
      <sz val="10"/>
      <color indexed="8"/>
      <name val="Times New Roman"/>
      <family val="1"/>
    </font>
    <font>
      <sz val="10"/>
      <color indexed="8"/>
      <name val="Courier"/>
      <family val="3"/>
    </font>
    <font>
      <sz val="11"/>
      <color theme="1"/>
      <name val="Times New Roman"/>
      <family val="1"/>
    </font>
    <font>
      <b/>
      <sz val="11"/>
      <color rgb="FFFF0000"/>
      <name val="Times New Roman"/>
      <family val="1"/>
    </font>
    <font>
      <b/>
      <sz val="14"/>
      <name val="Times New Roman"/>
      <family val="1"/>
    </font>
    <font>
      <sz val="8"/>
      <name val="Calibri"/>
      <family val="2"/>
      <scheme val="minor"/>
    </font>
    <font>
      <u/>
      <sz val="11"/>
      <color theme="10"/>
      <name val="Calibri"/>
      <family val="2"/>
      <scheme val="minor"/>
    </font>
    <font>
      <u/>
      <sz val="10"/>
      <color theme="10"/>
      <name val="Calibri"/>
      <family val="2"/>
      <scheme val="minor"/>
    </font>
    <font>
      <b/>
      <sz val="14"/>
      <color theme="0"/>
      <name val="Times New Roman"/>
      <family val="1"/>
    </font>
  </fonts>
  <fills count="2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6" tint="0.59999389629810485"/>
        <bgColor indexed="8"/>
      </patternFill>
    </fill>
    <fill>
      <patternFill patternType="solid">
        <fgColor theme="6" tint="0.59999389629810485"/>
        <bgColor indexed="64"/>
      </patternFill>
    </fill>
    <fill>
      <patternFill patternType="solid">
        <fgColor rgb="FFFFFFCC"/>
      </patternFill>
    </fill>
    <fill>
      <patternFill patternType="solid">
        <fgColor theme="9" tint="0.59999389629810485"/>
        <bgColor indexed="64"/>
      </patternFill>
    </fill>
    <fill>
      <patternFill patternType="solid">
        <fgColor indexed="9"/>
        <bgColor indexed="64"/>
      </patternFill>
    </fill>
    <fill>
      <patternFill patternType="solid">
        <fgColor theme="8" tint="0.79998168889431442"/>
        <bgColor indexed="64"/>
      </patternFill>
    </fill>
    <fill>
      <patternFill patternType="solid">
        <fgColor indexed="9"/>
        <bgColor indexed="8"/>
      </patternFill>
    </fill>
    <fill>
      <patternFill patternType="solid">
        <fgColor theme="2" tint="-0.249977111117893"/>
        <bgColor indexed="8"/>
      </patternFill>
    </fill>
    <fill>
      <patternFill patternType="solid">
        <fgColor theme="2"/>
        <bgColor indexed="64"/>
      </patternFill>
    </fill>
    <fill>
      <patternFill patternType="solid">
        <fgColor rgb="FFFFFFFF"/>
        <bgColor rgb="FF000000"/>
      </patternFill>
    </fill>
    <fill>
      <patternFill patternType="solid">
        <fgColor theme="6"/>
        <bgColor indexed="8"/>
      </patternFill>
    </fill>
    <fill>
      <patternFill patternType="solid">
        <fgColor theme="6"/>
        <bgColor rgb="FF000000"/>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8"/>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8"/>
      </patternFill>
    </fill>
    <fill>
      <patternFill patternType="solid">
        <fgColor theme="0"/>
        <bgColor indexed="8"/>
      </patternFill>
    </fill>
    <fill>
      <patternFill patternType="solid">
        <fgColor theme="4" tint="-0.49998474074526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style="medium">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right style="double">
        <color indexed="64"/>
      </right>
      <top style="double">
        <color indexed="64"/>
      </top>
      <bottom/>
      <diagonal/>
    </border>
    <border>
      <left/>
      <right style="double">
        <color indexed="64"/>
      </right>
      <top/>
      <bottom style="double">
        <color indexed="64"/>
      </bottom>
      <diagonal/>
    </border>
    <border>
      <left/>
      <right style="double">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double">
        <color indexed="64"/>
      </left>
      <right style="double">
        <color indexed="64"/>
      </right>
      <top style="medium">
        <color indexed="64"/>
      </top>
      <bottom/>
      <diagonal/>
    </border>
    <border>
      <left/>
      <right style="double">
        <color indexed="64"/>
      </right>
      <top/>
      <bottom/>
      <diagonal/>
    </border>
    <border>
      <left style="double">
        <color indexed="64"/>
      </left>
      <right style="double">
        <color indexed="64"/>
      </right>
      <top/>
      <bottom/>
      <diagonal/>
    </border>
    <border>
      <left/>
      <right style="thin">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3" fillId="0" borderId="0"/>
    <xf numFmtId="0" fontId="2" fillId="0" borderId="0"/>
    <xf numFmtId="0" fontId="2" fillId="0" borderId="0"/>
    <xf numFmtId="0" fontId="2" fillId="8" borderId="21" applyNumberFormat="0" applyFont="0" applyAlignment="0" applyProtection="0"/>
    <xf numFmtId="167" fontId="2"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0" fontId="3" fillId="0" borderId="0"/>
    <xf numFmtId="0" fontId="4" fillId="0" borderId="0"/>
    <xf numFmtId="0" fontId="25" fillId="0" borderId="0" applyNumberFormat="0" applyFill="0" applyBorder="0" applyAlignment="0" applyProtection="0"/>
  </cellStyleXfs>
  <cellXfs count="612">
    <xf numFmtId="0" fontId="0" fillId="0" borderId="0" xfId="0"/>
    <xf numFmtId="0" fontId="6" fillId="0" borderId="0" xfId="0" applyFont="1"/>
    <xf numFmtId="0" fontId="6" fillId="0" borderId="0" xfId="0" applyFont="1" applyAlignment="1">
      <alignment horizontal="center"/>
    </xf>
    <xf numFmtId="0" fontId="12" fillId="18" borderId="5" xfId="3" applyFont="1" applyFill="1" applyBorder="1" applyAlignment="1">
      <alignment horizontal="center" vertical="center"/>
    </xf>
    <xf numFmtId="0" fontId="12" fillId="0" borderId="1" xfId="3" applyFont="1" applyBorder="1" applyAlignment="1">
      <alignment horizontal="left" vertical="center"/>
    </xf>
    <xf numFmtId="0" fontId="13" fillId="0" borderId="1" xfId="3" applyFont="1" applyBorder="1" applyAlignment="1">
      <alignment horizontal="left" vertical="center"/>
    </xf>
    <xf numFmtId="0" fontId="12" fillId="0" borderId="0" xfId="0" applyFont="1" applyAlignment="1">
      <alignment horizontal="center"/>
    </xf>
    <xf numFmtId="0" fontId="13" fillId="0" borderId="0" xfId="0" applyFont="1" applyAlignment="1">
      <alignment horizontal="center"/>
    </xf>
    <xf numFmtId="0" fontId="13" fillId="0" borderId="0" xfId="0" applyFont="1"/>
    <xf numFmtId="10" fontId="15" fillId="3" borderId="33" xfId="5" applyNumberFormat="1" applyFont="1" applyFill="1" applyBorder="1" applyAlignment="1">
      <alignment horizontal="center" vertical="center"/>
    </xf>
    <xf numFmtId="10" fontId="15" fillId="3" borderId="24" xfId="5" applyNumberFormat="1" applyFont="1" applyFill="1" applyBorder="1" applyAlignment="1">
      <alignment horizontal="center" vertical="center"/>
    </xf>
    <xf numFmtId="10" fontId="15" fillId="3" borderId="27" xfId="5" applyNumberFormat="1" applyFont="1" applyFill="1" applyBorder="1" applyAlignment="1">
      <alignment horizontal="center" vertical="center"/>
    </xf>
    <xf numFmtId="0" fontId="14" fillId="0" borderId="5" xfId="0" applyFont="1" applyBorder="1" applyAlignment="1">
      <alignment horizontal="left" vertical="top"/>
    </xf>
    <xf numFmtId="0" fontId="14" fillId="0" borderId="1" xfId="0" applyFont="1" applyBorder="1" applyAlignment="1">
      <alignment horizontal="left" vertical="top"/>
    </xf>
    <xf numFmtId="167" fontId="14" fillId="10" borderId="26" xfId="11" applyFont="1" applyFill="1" applyBorder="1" applyAlignment="1">
      <alignment horizontal="center" vertical="center"/>
    </xf>
    <xf numFmtId="0" fontId="13" fillId="0" borderId="0" xfId="0" applyFont="1" applyAlignment="1">
      <alignment vertical="center" wrapText="1"/>
    </xf>
    <xf numFmtId="0" fontId="14" fillId="2" borderId="5"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5" xfId="0" applyFont="1" applyBorder="1" applyAlignment="1">
      <alignment horizontal="center" vertical="center" wrapText="1"/>
    </xf>
    <xf numFmtId="43" fontId="14" fillId="0" borderId="5" xfId="1"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5" fillId="0" borderId="1" xfId="1" applyNumberFormat="1" applyFont="1" applyFill="1" applyBorder="1" applyAlignment="1">
      <alignment horizontal="center" vertical="center" wrapText="1"/>
    </xf>
    <xf numFmtId="43" fontId="15" fillId="0" borderId="1" xfId="1" applyFont="1" applyFill="1" applyBorder="1" applyAlignment="1">
      <alignment horizontal="center" vertical="center" wrapText="1"/>
    </xf>
    <xf numFmtId="0" fontId="13" fillId="0" borderId="1" xfId="0" quotePrefix="1" applyFont="1" applyBorder="1" applyAlignment="1">
      <alignment vertical="center" wrapText="1"/>
    </xf>
    <xf numFmtId="0" fontId="13" fillId="0" borderId="1" xfId="0" applyFont="1" applyBorder="1" applyAlignment="1">
      <alignment vertical="center" wrapText="1"/>
    </xf>
    <xf numFmtId="4" fontId="15" fillId="2" borderId="1" xfId="8" applyNumberFormat="1" applyFont="1" applyFill="1" applyBorder="1" applyAlignment="1">
      <alignment horizontal="left" vertical="center" wrapText="1"/>
    </xf>
    <xf numFmtId="0" fontId="13" fillId="0" borderId="1" xfId="0" applyFont="1" applyBorder="1" applyAlignment="1">
      <alignment horizontal="center" vertical="center" wrapText="1"/>
    </xf>
    <xf numFmtId="0" fontId="16" fillId="0" borderId="0" xfId="0" applyFont="1" applyAlignment="1">
      <alignment vertical="center" wrapText="1"/>
    </xf>
    <xf numFmtId="4" fontId="15" fillId="2" borderId="1" xfId="8" applyNumberFormat="1" applyFont="1" applyFill="1" applyBorder="1" applyAlignment="1">
      <alignment vertical="center" wrapText="1"/>
    </xf>
    <xf numFmtId="0" fontId="15" fillId="2" borderId="1" xfId="8" applyFont="1" applyFill="1" applyBorder="1" applyAlignment="1">
      <alignment vertical="center" wrapText="1"/>
    </xf>
    <xf numFmtId="0" fontId="15" fillId="0" borderId="1" xfId="8" applyFont="1" applyBorder="1" applyAlignment="1">
      <alignment vertical="center" wrapText="1"/>
    </xf>
    <xf numFmtId="0" fontId="17" fillId="0" borderId="1" xfId="0" applyFont="1" applyBorder="1" applyAlignment="1">
      <alignment vertical="center" wrapText="1"/>
    </xf>
    <xf numFmtId="0" fontId="13" fillId="2" borderId="1" xfId="0" quotePrefix="1" applyFont="1" applyFill="1" applyBorder="1" applyAlignment="1">
      <alignment horizontal="center" vertical="center" wrapText="1"/>
    </xf>
    <xf numFmtId="0" fontId="13" fillId="0" borderId="1" xfId="0" applyFont="1" applyBorder="1" applyAlignment="1">
      <alignment horizontal="left" vertical="center" wrapText="1"/>
    </xf>
    <xf numFmtId="0" fontId="13" fillId="2" borderId="1" xfId="0" quotePrefix="1" applyFont="1" applyFill="1" applyBorder="1" applyAlignment="1">
      <alignment vertical="center" wrapText="1"/>
    </xf>
    <xf numFmtId="0" fontId="15" fillId="0" borderId="1" xfId="0" applyFont="1" applyBorder="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vertical="center"/>
    </xf>
    <xf numFmtId="0" fontId="14" fillId="2" borderId="1" xfId="0" applyFont="1" applyFill="1" applyBorder="1" applyAlignment="1">
      <alignment horizontal="left" vertical="center"/>
    </xf>
    <xf numFmtId="0" fontId="14" fillId="2" borderId="1" xfId="0" applyFont="1" applyFill="1" applyBorder="1" applyAlignment="1">
      <alignment horizontal="center" vertical="center"/>
    </xf>
    <xf numFmtId="49" fontId="14" fillId="2" borderId="1" xfId="0" applyNumberFormat="1" applyFont="1" applyFill="1" applyBorder="1" applyAlignment="1">
      <alignment horizontal="center" vertical="center"/>
    </xf>
    <xf numFmtId="0" fontId="15" fillId="2" borderId="1" xfId="3" applyFont="1" applyFill="1" applyBorder="1" applyAlignment="1">
      <alignment horizontal="center" vertical="center" wrapText="1"/>
    </xf>
    <xf numFmtId="0" fontId="15" fillId="2" borderId="1" xfId="1" applyNumberFormat="1" applyFont="1" applyFill="1" applyBorder="1" applyAlignment="1">
      <alignment horizontal="center" vertical="center" wrapText="1"/>
    </xf>
    <xf numFmtId="165" fontId="15" fillId="0" borderId="1" xfId="4" applyNumberFormat="1" applyFont="1" applyFill="1" applyBorder="1" applyAlignment="1">
      <alignment horizontal="right" vertical="center" wrapText="1"/>
    </xf>
    <xf numFmtId="4" fontId="15" fillId="2" borderId="1" xfId="1" applyNumberFormat="1" applyFont="1" applyFill="1" applyBorder="1" applyAlignment="1">
      <alignment horizontal="center" vertical="center" wrapText="1"/>
    </xf>
    <xf numFmtId="0" fontId="13" fillId="0" borderId="5" xfId="0" applyFont="1" applyBorder="1" applyAlignment="1">
      <alignment horizontal="center" vertical="center"/>
    </xf>
    <xf numFmtId="49" fontId="13" fillId="0" borderId="1" xfId="0" applyNumberFormat="1" applyFont="1" applyBorder="1" applyAlignment="1">
      <alignment horizontal="center" vertical="center" wrapText="1"/>
    </xf>
    <xf numFmtId="0" fontId="15" fillId="2" borderId="1" xfId="0" applyFont="1" applyFill="1" applyBorder="1" applyAlignment="1">
      <alignment horizontal="center" vertical="center" wrapText="1"/>
    </xf>
    <xf numFmtId="0" fontId="15" fillId="15" borderId="1" xfId="0" applyFont="1" applyFill="1" applyBorder="1" applyAlignment="1">
      <alignment vertical="center" wrapText="1"/>
    </xf>
    <xf numFmtId="0" fontId="15" fillId="15" borderId="1" xfId="0" quotePrefix="1" applyFont="1" applyFill="1" applyBorder="1" applyAlignment="1">
      <alignment vertical="center" wrapText="1"/>
    </xf>
    <xf numFmtId="0" fontId="15" fillId="0" borderId="1" xfId="0" applyFont="1" applyBorder="1" applyAlignment="1">
      <alignment vertical="center" wrapText="1"/>
    </xf>
    <xf numFmtId="0" fontId="15" fillId="0" borderId="1" xfId="17" applyFont="1" applyBorder="1" applyAlignment="1" applyProtection="1">
      <alignment horizontal="left" vertical="center" wrapText="1"/>
      <protection locked="0"/>
    </xf>
    <xf numFmtId="0" fontId="12" fillId="0" borderId="1" xfId="3" applyFont="1" applyBorder="1" applyAlignment="1">
      <alignment horizontal="left" vertical="center" wrapText="1"/>
    </xf>
    <xf numFmtId="4" fontId="14" fillId="0" borderId="1" xfId="3" applyNumberFormat="1" applyFont="1" applyBorder="1" applyAlignment="1">
      <alignment horizontal="left" vertical="center" wrapText="1"/>
    </xf>
    <xf numFmtId="0" fontId="12" fillId="0" borderId="1" xfId="3"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44" fontId="12" fillId="0" borderId="1" xfId="0" applyNumberFormat="1" applyFont="1" applyBorder="1" applyAlignment="1">
      <alignment horizontal="center" vertical="center" wrapText="1"/>
    </xf>
    <xf numFmtId="0" fontId="18" fillId="12" borderId="1" xfId="7" applyFont="1" applyFill="1" applyBorder="1" applyAlignment="1">
      <alignment horizontal="center" vertical="center" wrapText="1"/>
    </xf>
    <xf numFmtId="0" fontId="18" fillId="12" borderId="1" xfId="7" applyFont="1" applyFill="1" applyBorder="1" applyAlignment="1">
      <alignment horizontal="left" vertical="center" wrapText="1"/>
    </xf>
    <xf numFmtId="171" fontId="18" fillId="12" borderId="1" xfId="7" applyNumberFormat="1" applyFont="1" applyFill="1" applyBorder="1" applyAlignment="1">
      <alignment horizontal="center" vertical="center" wrapText="1"/>
    </xf>
    <xf numFmtId="44" fontId="13" fillId="0" borderId="1" xfId="0" applyNumberFormat="1" applyFont="1" applyBorder="1" applyAlignment="1">
      <alignment horizontal="center" vertical="center" wrapText="1"/>
    </xf>
    <xf numFmtId="9" fontId="13" fillId="0" borderId="0" xfId="2" applyFont="1"/>
    <xf numFmtId="4" fontId="18" fillId="12" borderId="1" xfId="7" applyNumberFormat="1" applyFont="1" applyFill="1" applyBorder="1" applyAlignment="1">
      <alignment horizontal="center" vertical="center" wrapText="1"/>
    </xf>
    <xf numFmtId="0" fontId="15" fillId="12" borderId="1" xfId="7" applyFont="1" applyFill="1" applyBorder="1" applyAlignment="1">
      <alignment horizontal="center" vertical="center" wrapText="1"/>
    </xf>
    <xf numFmtId="0" fontId="15" fillId="12" borderId="1" xfId="7" applyFont="1" applyFill="1" applyBorder="1" applyAlignment="1">
      <alignment horizontal="left" vertical="center" wrapText="1"/>
    </xf>
    <xf numFmtId="171" fontId="15" fillId="12" borderId="1" xfId="7" applyNumberFormat="1" applyFont="1" applyFill="1" applyBorder="1" applyAlignment="1">
      <alignment horizontal="center" vertical="center" wrapText="1"/>
    </xf>
    <xf numFmtId="44" fontId="15" fillId="0" borderId="1" xfId="0" applyNumberFormat="1" applyFont="1" applyBorder="1" applyAlignment="1">
      <alignment horizontal="center" vertical="center" wrapText="1"/>
    </xf>
    <xf numFmtId="172" fontId="18" fillId="12" borderId="1" xfId="7" applyNumberFormat="1" applyFont="1" applyFill="1" applyBorder="1" applyAlignment="1">
      <alignment horizontal="center" vertical="center" wrapText="1"/>
    </xf>
    <xf numFmtId="0" fontId="15" fillId="0" borderId="1" xfId="7" applyFont="1" applyBorder="1" applyAlignment="1">
      <alignment horizontal="center" vertical="center" wrapText="1"/>
    </xf>
    <xf numFmtId="0" fontId="15" fillId="0" borderId="1" xfId="7" applyFont="1" applyBorder="1" applyAlignment="1">
      <alignment horizontal="left" vertical="center" wrapText="1"/>
    </xf>
    <xf numFmtId="172" fontId="15" fillId="12" borderId="1" xfId="7" applyNumberFormat="1" applyFont="1" applyFill="1" applyBorder="1" applyAlignment="1">
      <alignment horizontal="center" vertical="center" wrapText="1"/>
    </xf>
    <xf numFmtId="0" fontId="20" fillId="16" borderId="1" xfId="7" applyFont="1" applyFill="1" applyBorder="1" applyAlignment="1">
      <alignment horizontal="center" vertical="center" wrapText="1"/>
    </xf>
    <xf numFmtId="0" fontId="20" fillId="16" borderId="1" xfId="7" applyFont="1" applyFill="1" applyBorder="1" applyAlignment="1">
      <alignment horizontal="left" vertical="center" wrapText="1"/>
    </xf>
    <xf numFmtId="4" fontId="20" fillId="16" borderId="2" xfId="7" applyNumberFormat="1" applyFont="1" applyFill="1" applyBorder="1" applyAlignment="1">
      <alignment horizontal="center" vertical="center" wrapText="1"/>
    </xf>
    <xf numFmtId="4" fontId="20" fillId="16" borderId="4" xfId="7" applyNumberFormat="1" applyFont="1" applyFill="1" applyBorder="1" applyAlignment="1">
      <alignment horizontal="center" vertical="center" wrapText="1"/>
    </xf>
    <xf numFmtId="0" fontId="20" fillId="12" borderId="1" xfId="7" applyFont="1" applyFill="1" applyBorder="1" applyAlignment="1">
      <alignment horizontal="center" vertical="center" wrapText="1"/>
    </xf>
    <xf numFmtId="0" fontId="20" fillId="12" borderId="1" xfId="7" applyFont="1" applyFill="1" applyBorder="1" applyAlignment="1">
      <alignment horizontal="left" vertical="center" wrapText="1"/>
    </xf>
    <xf numFmtId="4" fontId="20" fillId="12" borderId="5" xfId="7" applyNumberFormat="1" applyFont="1" applyFill="1" applyBorder="1" applyAlignment="1">
      <alignment horizontal="center" vertical="center" wrapText="1"/>
    </xf>
    <xf numFmtId="4" fontId="20" fillId="12" borderId="1" xfId="7" applyNumberFormat="1" applyFont="1" applyFill="1" applyBorder="1" applyAlignment="1">
      <alignment horizontal="center" vertical="center" wrapText="1"/>
    </xf>
    <xf numFmtId="0" fontId="12" fillId="0" borderId="10" xfId="3" applyFont="1" applyBorder="1" applyAlignment="1">
      <alignment vertical="center" wrapText="1"/>
    </xf>
    <xf numFmtId="169" fontId="13" fillId="0" borderId="1" xfId="0" applyNumberFormat="1" applyFont="1" applyBorder="1" applyAlignment="1">
      <alignment horizontal="center" vertical="center" wrapText="1"/>
    </xf>
    <xf numFmtId="44" fontId="13" fillId="0" borderId="1" xfId="0" applyNumberFormat="1" applyFont="1" applyBorder="1" applyAlignment="1">
      <alignment horizontal="right" vertical="center" wrapText="1"/>
    </xf>
    <xf numFmtId="2" fontId="13"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vertical="center"/>
    </xf>
    <xf numFmtId="44" fontId="13" fillId="0" borderId="1" xfId="0" applyNumberFormat="1" applyFont="1" applyBorder="1" applyAlignment="1">
      <alignment horizontal="center" vertical="center"/>
    </xf>
    <xf numFmtId="44" fontId="13" fillId="0" borderId="1" xfId="0" applyNumberFormat="1" applyFont="1" applyBorder="1" applyAlignment="1">
      <alignment vertical="center"/>
    </xf>
    <xf numFmtId="0" fontId="18" fillId="13" borderId="1" xfId="7" applyFont="1" applyFill="1" applyBorder="1" applyAlignment="1">
      <alignment horizontal="center" vertical="center" wrapText="1"/>
    </xf>
    <xf numFmtId="0" fontId="18" fillId="13" borderId="1" xfId="7" applyFont="1" applyFill="1" applyBorder="1" applyAlignment="1">
      <alignment horizontal="left" vertical="center" wrapText="1"/>
    </xf>
    <xf numFmtId="4" fontId="18" fillId="13" borderId="1" xfId="7" applyNumberFormat="1" applyFont="1" applyFill="1" applyBorder="1" applyAlignment="1">
      <alignment horizontal="center" vertical="center" wrapText="1"/>
    </xf>
    <xf numFmtId="170" fontId="13" fillId="0" borderId="1" xfId="0" applyNumberFormat="1" applyFont="1" applyBorder="1" applyAlignment="1">
      <alignment horizontal="center" vertical="center" wrapText="1"/>
    </xf>
    <xf numFmtId="10" fontId="18" fillId="13" borderId="1" xfId="2" applyNumberFormat="1" applyFont="1" applyFill="1" applyBorder="1" applyAlignment="1">
      <alignment horizontal="center" vertical="center" wrapText="1"/>
    </xf>
    <xf numFmtId="0" fontId="16" fillId="0" borderId="0" xfId="0" applyFont="1" applyAlignment="1">
      <alignment vertical="center"/>
    </xf>
    <xf numFmtId="0" fontId="13" fillId="0" borderId="10" xfId="0" applyFont="1" applyBorder="1" applyAlignment="1">
      <alignment horizontal="center" vertical="center" wrapText="1"/>
    </xf>
    <xf numFmtId="44" fontId="12" fillId="5" borderId="1" xfId="0" applyNumberFormat="1" applyFont="1" applyFill="1" applyBorder="1" applyAlignment="1">
      <alignment horizontal="center" vertical="center" wrapText="1"/>
    </xf>
    <xf numFmtId="0" fontId="18" fillId="16" borderId="1" xfId="7" applyFont="1" applyFill="1" applyBorder="1" applyAlignment="1">
      <alignment horizontal="center" vertical="center" wrapText="1"/>
    </xf>
    <xf numFmtId="0" fontId="18" fillId="16" borderId="1" xfId="7" applyFont="1" applyFill="1" applyBorder="1" applyAlignment="1">
      <alignment horizontal="left" vertical="center" wrapText="1"/>
    </xf>
    <xf numFmtId="4" fontId="18" fillId="16" borderId="1" xfId="7" applyNumberFormat="1" applyFont="1" applyFill="1" applyBorder="1" applyAlignment="1">
      <alignment horizontal="center" vertical="center" wrapText="1"/>
    </xf>
    <xf numFmtId="0" fontId="10" fillId="0" borderId="0" xfId="0" applyFont="1" applyAlignment="1">
      <alignment vertical="center"/>
    </xf>
    <xf numFmtId="171" fontId="13" fillId="0" borderId="1" xfId="0" applyNumberFormat="1" applyFont="1" applyBorder="1" applyAlignment="1">
      <alignment horizontal="center" vertical="center" wrapText="1"/>
    </xf>
    <xf numFmtId="171" fontId="15" fillId="0" borderId="1" xfId="0" applyNumberFormat="1" applyFont="1" applyBorder="1" applyAlignment="1">
      <alignment horizontal="center" vertical="center" wrapText="1"/>
    </xf>
    <xf numFmtId="2" fontId="13" fillId="0" borderId="0" xfId="0" applyNumberFormat="1" applyFont="1" applyAlignment="1">
      <alignment vertical="center" wrapText="1"/>
    </xf>
    <xf numFmtId="9" fontId="18" fillId="16" borderId="5" xfId="2" applyFont="1" applyFill="1" applyBorder="1" applyAlignment="1">
      <alignment horizontal="center" vertical="center" wrapText="1"/>
    </xf>
    <xf numFmtId="172" fontId="17" fillId="15" borderId="1" xfId="7" applyNumberFormat="1" applyFont="1" applyFill="1" applyBorder="1" applyAlignment="1">
      <alignment horizontal="center" vertical="center" wrapText="1"/>
    </xf>
    <xf numFmtId="0" fontId="21" fillId="0" borderId="0" xfId="0" applyFont="1"/>
    <xf numFmtId="0" fontId="12" fillId="0" borderId="14" xfId="0" applyFont="1"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3" fillId="0" borderId="19" xfId="0" applyFont="1" applyBorder="1" applyAlignment="1">
      <alignment vertical="center"/>
    </xf>
    <xf numFmtId="0" fontId="13" fillId="0" borderId="20" xfId="0" applyFont="1" applyBorder="1" applyAlignment="1">
      <alignment horizontal="center" vertical="center"/>
    </xf>
    <xf numFmtId="0" fontId="13" fillId="0" borderId="6" xfId="0" applyFont="1" applyBorder="1" applyAlignment="1">
      <alignment vertical="center"/>
    </xf>
    <xf numFmtId="0" fontId="13" fillId="0" borderId="7" xfId="0" applyFont="1" applyBorder="1" applyAlignment="1">
      <alignment horizontal="center" vertical="center"/>
    </xf>
    <xf numFmtId="0" fontId="13" fillId="0" borderId="6" xfId="0" applyFont="1" applyBorder="1" applyAlignment="1">
      <alignment vertical="center" wrapText="1"/>
    </xf>
    <xf numFmtId="0" fontId="13" fillId="4" borderId="1" xfId="0" applyFont="1" applyFill="1" applyBorder="1" applyAlignment="1">
      <alignment horizontal="center" vertical="center"/>
    </xf>
    <xf numFmtId="166" fontId="13" fillId="0" borderId="1" xfId="0" applyNumberFormat="1" applyFont="1" applyBorder="1" applyAlignment="1">
      <alignment horizontal="center" vertical="center"/>
    </xf>
    <xf numFmtId="0" fontId="13" fillId="0" borderId="7" xfId="0" applyFont="1" applyBorder="1" applyAlignment="1">
      <alignment vertical="center"/>
    </xf>
    <xf numFmtId="0" fontId="13" fillId="0" borderId="6" xfId="0" applyFont="1" applyBorder="1"/>
    <xf numFmtId="0" fontId="13" fillId="0" borderId="6" xfId="0" applyFont="1" applyBorder="1" applyAlignment="1">
      <alignment horizontal="left" vertical="center" wrapText="1"/>
    </xf>
    <xf numFmtId="0" fontId="13" fillId="0" borderId="6"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center" vertical="center"/>
    </xf>
    <xf numFmtId="0" fontId="13" fillId="0" borderId="11" xfId="0" applyFont="1" applyBorder="1" applyAlignment="1">
      <alignment vertical="center"/>
    </xf>
    <xf numFmtId="0" fontId="13" fillId="0" borderId="9" xfId="0" applyFont="1" applyBorder="1" applyAlignment="1">
      <alignment wrapText="1"/>
    </xf>
    <xf numFmtId="0" fontId="13" fillId="4" borderId="10" xfId="0" applyFont="1" applyFill="1" applyBorder="1" applyAlignment="1">
      <alignment horizontal="center" vertical="center"/>
    </xf>
    <xf numFmtId="0" fontId="13" fillId="0" borderId="10" xfId="0" applyFont="1" applyBorder="1" applyAlignment="1">
      <alignment horizontal="center"/>
    </xf>
    <xf numFmtId="0" fontId="13" fillId="0" borderId="11" xfId="0" applyFont="1" applyBorder="1"/>
    <xf numFmtId="0" fontId="13" fillId="0" borderId="14" xfId="0" applyFont="1" applyBorder="1"/>
    <xf numFmtId="0" fontId="13" fillId="0" borderId="15" xfId="0" applyFont="1" applyBorder="1"/>
    <xf numFmtId="0" fontId="13" fillId="0" borderId="16" xfId="0" applyFont="1" applyBorder="1"/>
    <xf numFmtId="0" fontId="22" fillId="0" borderId="0" xfId="0" applyFont="1"/>
    <xf numFmtId="4" fontId="22" fillId="0" borderId="0" xfId="0" applyNumberFormat="1" applyFont="1"/>
    <xf numFmtId="0" fontId="11" fillId="0" borderId="2" xfId="0" applyFont="1" applyBorder="1" applyAlignment="1">
      <alignment horizontal="center" vertical="center" wrapText="1"/>
    </xf>
    <xf numFmtId="0" fontId="12" fillId="0" borderId="39" xfId="3" applyFont="1" applyBorder="1" applyAlignment="1">
      <alignment horizontal="left" vertical="center" wrapText="1"/>
    </xf>
    <xf numFmtId="0" fontId="12" fillId="0" borderId="40" xfId="3" applyFont="1" applyBorder="1" applyAlignment="1">
      <alignment horizontal="left" vertical="center" wrapText="1"/>
    </xf>
    <xf numFmtId="0" fontId="12" fillId="0" borderId="41" xfId="3" applyFont="1" applyBorder="1" applyAlignment="1">
      <alignment vertical="center" wrapText="1"/>
    </xf>
    <xf numFmtId="0" fontId="14" fillId="0" borderId="1" xfId="3" applyFont="1" applyBorder="1" applyAlignment="1">
      <alignment horizontal="center" vertical="center"/>
    </xf>
    <xf numFmtId="10" fontId="12" fillId="0" borderId="1" xfId="2" applyNumberFormat="1" applyFont="1" applyFill="1" applyBorder="1" applyAlignment="1">
      <alignment horizontal="center" vertical="center"/>
    </xf>
    <xf numFmtId="0" fontId="15" fillId="0" borderId="1" xfId="3" applyFont="1" applyBorder="1" applyAlignment="1">
      <alignment horizontal="center" vertical="center"/>
    </xf>
    <xf numFmtId="10" fontId="13" fillId="0" borderId="1" xfId="2" applyNumberFormat="1" applyFont="1" applyFill="1" applyBorder="1" applyAlignment="1">
      <alignment horizontal="center" vertical="center"/>
    </xf>
    <xf numFmtId="10" fontId="14" fillId="18" borderId="1" xfId="5" applyNumberFormat="1" applyFont="1" applyFill="1" applyBorder="1" applyAlignment="1">
      <alignment horizontal="center" vertical="center"/>
    </xf>
    <xf numFmtId="0" fontId="13" fillId="0" borderId="1" xfId="0" applyFont="1" applyBorder="1"/>
    <xf numFmtId="44" fontId="15" fillId="0" borderId="1" xfId="0" applyNumberFormat="1" applyFont="1" applyBorder="1" applyAlignment="1">
      <alignment vertical="center"/>
    </xf>
    <xf numFmtId="171" fontId="15" fillId="0" borderId="1" xfId="0" applyNumberFormat="1" applyFont="1" applyBorder="1" applyAlignment="1">
      <alignment horizontal="center" vertical="center"/>
    </xf>
    <xf numFmtId="171" fontId="13" fillId="0" borderId="1" xfId="0" applyNumberFormat="1" applyFont="1" applyBorder="1" applyAlignment="1">
      <alignment horizontal="center" vertical="center"/>
    </xf>
    <xf numFmtId="0" fontId="15" fillId="0" borderId="0" xfId="0" applyFont="1" applyAlignment="1">
      <alignment vertical="center"/>
    </xf>
    <xf numFmtId="0" fontId="17" fillId="0" borderId="1" xfId="0" applyFont="1" applyBorder="1" applyAlignment="1">
      <alignment horizontal="left" vertical="center" wrapText="1"/>
    </xf>
    <xf numFmtId="0" fontId="13" fillId="20" borderId="0" xfId="0" applyFont="1" applyFill="1" applyAlignment="1">
      <alignment vertical="center"/>
    </xf>
    <xf numFmtId="0" fontId="15" fillId="0" borderId="0" xfId="0" applyFont="1"/>
    <xf numFmtId="0" fontId="15" fillId="12" borderId="1" xfId="7" applyFont="1" applyFill="1" applyBorder="1" applyAlignment="1">
      <alignment horizontal="left" vertical="center"/>
    </xf>
    <xf numFmtId="4" fontId="15" fillId="12" borderId="1" xfId="7" applyNumberFormat="1" applyFont="1" applyFill="1" applyBorder="1" applyAlignment="1">
      <alignment horizontal="center" vertical="center" wrapText="1"/>
    </xf>
    <xf numFmtId="0" fontId="14" fillId="5" borderId="1" xfId="0" applyFont="1" applyFill="1" applyBorder="1" applyAlignment="1">
      <alignment horizontal="center" vertical="center" wrapText="1"/>
    </xf>
    <xf numFmtId="0" fontId="15" fillId="2" borderId="1" xfId="0" quotePrefix="1" applyFont="1" applyFill="1" applyBorder="1" applyAlignment="1">
      <alignment horizontal="center" vertical="center" wrapText="1"/>
    </xf>
    <xf numFmtId="0" fontId="19" fillId="6" borderId="1" xfId="7" applyFont="1" applyFill="1" applyBorder="1" applyAlignment="1">
      <alignment vertical="center" wrapText="1"/>
    </xf>
    <xf numFmtId="44" fontId="19" fillId="6" borderId="1" xfId="7" applyNumberFormat="1" applyFont="1" applyFill="1" applyBorder="1" applyAlignment="1">
      <alignment horizontal="right" vertical="center" wrapText="1"/>
    </xf>
    <xf numFmtId="0" fontId="19" fillId="0" borderId="1" xfId="7" applyFont="1" applyBorder="1" applyAlignment="1">
      <alignment vertical="center" wrapText="1"/>
    </xf>
    <xf numFmtId="44" fontId="13" fillId="0" borderId="1" xfId="0" applyNumberFormat="1" applyFont="1" applyBorder="1" applyAlignment="1">
      <alignment vertical="center" wrapText="1"/>
    </xf>
    <xf numFmtId="0" fontId="18" fillId="12" borderId="1" xfId="7" quotePrefix="1" applyFont="1" applyFill="1" applyBorder="1" applyAlignment="1">
      <alignment horizontal="left" vertical="center" wrapText="1"/>
    </xf>
    <xf numFmtId="0" fontId="19" fillId="21" borderId="1" xfId="7" applyFont="1" applyFill="1" applyBorder="1" applyAlignment="1">
      <alignment horizontal="center" vertical="center" wrapText="1"/>
    </xf>
    <xf numFmtId="44" fontId="19" fillId="21" borderId="1" xfId="7" applyNumberFormat="1" applyFont="1" applyFill="1" applyBorder="1" applyAlignment="1">
      <alignment horizontal="center" vertical="center" wrapText="1"/>
    </xf>
    <xf numFmtId="0" fontId="19" fillId="21" borderId="1" xfId="7" applyFont="1" applyFill="1" applyBorder="1" applyAlignment="1">
      <alignment vertical="center" wrapText="1"/>
    </xf>
    <xf numFmtId="10" fontId="15" fillId="0" borderId="2" xfId="2"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44" fontId="0" fillId="0" borderId="0" xfId="0" applyNumberFormat="1" applyAlignment="1">
      <alignment horizontal="center" vertical="center"/>
    </xf>
    <xf numFmtId="2" fontId="15" fillId="0" borderId="2" xfId="1" applyNumberFormat="1" applyFont="1" applyFill="1" applyBorder="1" applyAlignment="1">
      <alignment horizontal="center" vertical="center"/>
    </xf>
    <xf numFmtId="2" fontId="13" fillId="0" borderId="1" xfId="0" applyNumberFormat="1" applyFont="1" applyBorder="1" applyAlignment="1">
      <alignment horizontal="center" vertical="center"/>
    </xf>
    <xf numFmtId="2" fontId="0" fillId="0" borderId="0" xfId="0" applyNumberFormat="1" applyAlignment="1">
      <alignment horizontal="center" vertical="center"/>
    </xf>
    <xf numFmtId="0" fontId="14" fillId="0" borderId="5" xfId="1" applyNumberFormat="1" applyFont="1" applyFill="1" applyBorder="1" applyAlignment="1">
      <alignment horizontal="center" vertical="center" wrapText="1"/>
    </xf>
    <xf numFmtId="2" fontId="15" fillId="0" borderId="1" xfId="1" applyNumberFormat="1" applyFont="1" applyFill="1" applyBorder="1" applyAlignment="1">
      <alignment horizontal="center" vertical="center" wrapText="1"/>
    </xf>
    <xf numFmtId="170" fontId="13" fillId="0" borderId="0" xfId="0" applyNumberFormat="1" applyFont="1" applyAlignment="1">
      <alignment vertical="center" wrapText="1"/>
    </xf>
    <xf numFmtId="4" fontId="15" fillId="0" borderId="1" xfId="1" applyNumberFormat="1" applyFont="1" applyFill="1" applyBorder="1" applyAlignment="1">
      <alignment horizontal="center" vertical="center" wrapText="1"/>
    </xf>
    <xf numFmtId="0" fontId="15" fillId="0" borderId="1" xfId="0" applyFont="1" applyBorder="1" applyAlignment="1" applyProtection="1">
      <alignment vertical="center" wrapText="1"/>
      <protection locked="0"/>
    </xf>
    <xf numFmtId="0" fontId="15"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4" fontId="13" fillId="0" borderId="0" xfId="0" applyNumberFormat="1" applyFont="1" applyAlignment="1">
      <alignment vertical="center" wrapText="1"/>
    </xf>
    <xf numFmtId="165" fontId="15" fillId="7" borderId="1" xfId="0" applyNumberFormat="1" applyFont="1" applyFill="1" applyBorder="1" applyAlignment="1">
      <alignment horizontal="right" vertical="center" wrapText="1"/>
    </xf>
    <xf numFmtId="165" fontId="13" fillId="7" borderId="1" xfId="0" applyNumberFormat="1" applyFont="1" applyFill="1" applyBorder="1" applyAlignment="1">
      <alignment horizontal="right" vertical="center" wrapText="1"/>
    </xf>
    <xf numFmtId="0" fontId="18" fillId="13" borderId="1" xfId="7" applyFont="1" applyFill="1" applyBorder="1" applyAlignment="1">
      <alignment horizontal="left" vertical="center"/>
    </xf>
    <xf numFmtId="0" fontId="18" fillId="13" borderId="1" xfId="7" applyFont="1" applyFill="1" applyBorder="1" applyAlignment="1">
      <alignment horizontal="center" vertical="center"/>
    </xf>
    <xf numFmtId="44" fontId="12" fillId="5" borderId="5" xfId="0" applyNumberFormat="1" applyFont="1" applyFill="1" applyBorder="1" applyAlignment="1">
      <alignment horizontal="center" vertical="center" wrapText="1"/>
    </xf>
    <xf numFmtId="44" fontId="15" fillId="0" borderId="1" xfId="0" applyNumberFormat="1" applyFont="1" applyBorder="1" applyAlignment="1">
      <alignment vertical="center" wrapText="1"/>
    </xf>
    <xf numFmtId="0" fontId="18" fillId="12" borderId="1" xfId="7" applyFont="1" applyFill="1" applyBorder="1" applyAlignment="1">
      <alignment horizontal="left" vertical="center"/>
    </xf>
    <xf numFmtId="169" fontId="15" fillId="12" borderId="1" xfId="7" applyNumberFormat="1" applyFont="1" applyFill="1" applyBorder="1" applyAlignment="1">
      <alignment horizontal="center" vertical="center" wrapText="1"/>
    </xf>
    <xf numFmtId="20" fontId="13" fillId="0" borderId="0" xfId="0" applyNumberFormat="1" applyFont="1" applyAlignment="1">
      <alignment vertical="center"/>
    </xf>
    <xf numFmtId="0" fontId="16" fillId="0" borderId="0" xfId="0" applyFont="1" applyAlignment="1">
      <alignment horizontal="center" vertical="center" wrapText="1"/>
    </xf>
    <xf numFmtId="0" fontId="18" fillId="16" borderId="1" xfId="7" applyFont="1" applyFill="1" applyBorder="1" applyAlignment="1">
      <alignment horizontal="center" vertical="center"/>
    </xf>
    <xf numFmtId="0" fontId="18" fillId="16" borderId="1" xfId="7" applyFont="1" applyFill="1" applyBorder="1" applyAlignment="1">
      <alignment horizontal="left" vertical="center"/>
    </xf>
    <xf numFmtId="4" fontId="17" fillId="17" borderId="1" xfId="7" applyNumberFormat="1" applyFont="1" applyFill="1" applyBorder="1" applyAlignment="1">
      <alignment horizontal="center" vertical="center"/>
    </xf>
    <xf numFmtId="9" fontId="17" fillId="17" borderId="1" xfId="2" applyFont="1" applyFill="1" applyBorder="1" applyAlignment="1">
      <alignment horizontal="center" vertical="center"/>
    </xf>
    <xf numFmtId="0" fontId="18" fillId="12" borderId="1" xfId="7" applyFont="1" applyFill="1" applyBorder="1" applyAlignment="1">
      <alignment horizontal="center" vertical="center"/>
    </xf>
    <xf numFmtId="44" fontId="14" fillId="0" borderId="1" xfId="3" applyNumberFormat="1" applyFont="1" applyBorder="1" applyAlignment="1">
      <alignment horizontal="center" vertical="center" wrapText="1"/>
    </xf>
    <xf numFmtId="44" fontId="12" fillId="22" borderId="1" xfId="0" applyNumberFormat="1" applyFont="1" applyFill="1" applyBorder="1" applyAlignment="1">
      <alignment horizontal="center" vertical="center" wrapText="1"/>
    </xf>
    <xf numFmtId="44" fontId="12" fillId="14" borderId="1" xfId="0" applyNumberFormat="1" applyFont="1" applyFill="1" applyBorder="1" applyAlignment="1">
      <alignment horizontal="center" vertical="center" wrapText="1"/>
    </xf>
    <xf numFmtId="44" fontId="13" fillId="0" borderId="0" xfId="0" applyNumberFormat="1" applyFont="1" applyAlignment="1">
      <alignment horizontal="center" vertical="center" wrapText="1"/>
    </xf>
    <xf numFmtId="44" fontId="13" fillId="0" borderId="0" xfId="0" applyNumberFormat="1" applyFont="1" applyAlignment="1">
      <alignment horizontal="center"/>
    </xf>
    <xf numFmtId="165" fontId="15" fillId="7" borderId="1" xfId="0" applyNumberFormat="1" applyFont="1" applyFill="1" applyBorder="1" applyAlignment="1" applyProtection="1">
      <alignment horizontal="right" vertical="center" wrapText="1"/>
      <protection locked="0"/>
    </xf>
    <xf numFmtId="165" fontId="13" fillId="0" borderId="0" xfId="0" applyNumberFormat="1" applyFont="1" applyAlignment="1">
      <alignment horizontal="right" vertical="center"/>
    </xf>
    <xf numFmtId="165" fontId="13" fillId="7" borderId="0" xfId="0" applyNumberFormat="1" applyFont="1" applyFill="1" applyAlignment="1">
      <alignment horizontal="right" vertical="center"/>
    </xf>
    <xf numFmtId="174" fontId="13" fillId="0" borderId="1" xfId="0" applyNumberFormat="1" applyFont="1" applyBorder="1" applyAlignment="1">
      <alignment horizontal="center" vertical="center" wrapText="1"/>
    </xf>
    <xf numFmtId="174" fontId="18" fillId="12" borderId="1" xfId="7" applyNumberFormat="1" applyFont="1" applyFill="1" applyBorder="1" applyAlignment="1">
      <alignment horizontal="center" vertical="center" wrapText="1"/>
    </xf>
    <xf numFmtId="0" fontId="18" fillId="0" borderId="1" xfId="7" applyFont="1" applyBorder="1" applyAlignment="1">
      <alignment horizontal="center" vertical="center" wrapText="1"/>
    </xf>
    <xf numFmtId="165" fontId="13" fillId="23" borderId="1" xfId="0" applyNumberFormat="1" applyFont="1" applyFill="1" applyBorder="1" applyAlignment="1">
      <alignment horizontal="right" vertical="center"/>
    </xf>
    <xf numFmtId="2" fontId="15" fillId="2" borderId="1" xfId="1" applyNumberFormat="1" applyFont="1" applyFill="1" applyBorder="1" applyAlignment="1">
      <alignment horizontal="center" vertical="center" wrapText="1"/>
    </xf>
    <xf numFmtId="2" fontId="15" fillId="0" borderId="1" xfId="0" applyNumberFormat="1" applyFont="1" applyBorder="1" applyAlignment="1">
      <alignment horizontal="center" vertical="center"/>
    </xf>
    <xf numFmtId="2" fontId="15" fillId="2" borderId="1" xfId="0" applyNumberFormat="1" applyFont="1" applyFill="1" applyBorder="1" applyAlignment="1">
      <alignment horizontal="center" vertical="center" wrapText="1"/>
    </xf>
    <xf numFmtId="2" fontId="15" fillId="0" borderId="1" xfId="0" applyNumberFormat="1" applyFont="1" applyBorder="1" applyAlignment="1">
      <alignment horizontal="center" vertical="center" wrapText="1"/>
    </xf>
    <xf numFmtId="2" fontId="15" fillId="0" borderId="1" xfId="0" applyNumberFormat="1" applyFont="1" applyBorder="1" applyAlignment="1" applyProtection="1">
      <alignment horizontal="center" vertical="center" wrapText="1"/>
      <protection locked="0"/>
    </xf>
    <xf numFmtId="2" fontId="15" fillId="0" borderId="1" xfId="0" applyNumberFormat="1" applyFont="1" applyBorder="1" applyAlignment="1" applyProtection="1">
      <alignment horizontal="center" vertical="center"/>
      <protection locked="0"/>
    </xf>
    <xf numFmtId="2" fontId="15" fillId="0" borderId="1" xfId="17" applyNumberFormat="1" applyFont="1" applyBorder="1" applyAlignment="1">
      <alignment horizontal="center" vertical="center"/>
    </xf>
    <xf numFmtId="2" fontId="13" fillId="0" borderId="0" xfId="0" applyNumberFormat="1" applyFont="1" applyAlignment="1">
      <alignment horizontal="center" vertical="center"/>
    </xf>
    <xf numFmtId="169" fontId="18" fillId="0" borderId="1" xfId="7" applyNumberFormat="1" applyFont="1" applyBorder="1" applyAlignment="1">
      <alignment horizontal="center" vertical="center" wrapText="1"/>
    </xf>
    <xf numFmtId="44" fontId="18" fillId="12" borderId="1" xfId="7" applyNumberFormat="1" applyFont="1" applyFill="1" applyBorder="1" applyAlignment="1">
      <alignment horizontal="center" vertical="center" wrapText="1"/>
    </xf>
    <xf numFmtId="0" fontId="12" fillId="0" borderId="0" xfId="0" applyFont="1" applyAlignment="1">
      <alignment vertical="center" wrapText="1"/>
    </xf>
    <xf numFmtId="44" fontId="12" fillId="19" borderId="1" xfId="0" applyNumberFormat="1" applyFont="1" applyFill="1" applyBorder="1" applyAlignment="1">
      <alignment horizontal="right" vertical="center" wrapText="1"/>
    </xf>
    <xf numFmtId="0" fontId="19" fillId="24" borderId="1" xfId="7" applyFont="1" applyFill="1" applyBorder="1" applyAlignment="1">
      <alignment vertical="center" wrapText="1"/>
    </xf>
    <xf numFmtId="169" fontId="18" fillId="12" borderId="1" xfId="7" applyNumberFormat="1" applyFont="1" applyFill="1" applyBorder="1" applyAlignment="1">
      <alignment horizontal="center" vertical="center" wrapText="1"/>
    </xf>
    <xf numFmtId="169" fontId="15" fillId="0" borderId="1" xfId="7" applyNumberFormat="1" applyFont="1" applyBorder="1" applyAlignment="1">
      <alignment horizontal="center" vertical="center" wrapText="1"/>
    </xf>
    <xf numFmtId="44" fontId="19" fillId="24" borderId="1" xfId="7" applyNumberFormat="1" applyFont="1" applyFill="1" applyBorder="1" applyAlignment="1">
      <alignment horizontal="right" vertical="center" wrapText="1"/>
    </xf>
    <xf numFmtId="0" fontId="13" fillId="0" borderId="0" xfId="0" applyFont="1" applyAlignment="1">
      <alignment horizontal="right"/>
    </xf>
    <xf numFmtId="44" fontId="12" fillId="14" borderId="1" xfId="0" applyNumberFormat="1" applyFont="1" applyFill="1" applyBorder="1" applyAlignment="1">
      <alignment horizontal="right" vertical="center" wrapText="1"/>
    </xf>
    <xf numFmtId="0" fontId="15" fillId="0" borderId="1" xfId="0" applyFont="1" applyBorder="1" applyAlignment="1">
      <alignment horizontal="justify" vertical="center" wrapText="1"/>
    </xf>
    <xf numFmtId="0" fontId="15" fillId="12" borderId="1" xfId="7" quotePrefix="1" applyFont="1" applyFill="1" applyBorder="1" applyAlignment="1">
      <alignment horizontal="left" vertical="center" wrapText="1"/>
    </xf>
    <xf numFmtId="49" fontId="15" fillId="12" borderId="1" xfId="7" quotePrefix="1" applyNumberFormat="1" applyFont="1" applyFill="1" applyBorder="1" applyAlignment="1">
      <alignment horizontal="left" vertical="center" wrapText="1"/>
    </xf>
    <xf numFmtId="49" fontId="15" fillId="12" borderId="1" xfId="7" applyNumberFormat="1" applyFont="1" applyFill="1" applyBorder="1" applyAlignment="1">
      <alignment horizontal="left" vertical="center" wrapText="1"/>
    </xf>
    <xf numFmtId="175" fontId="18" fillId="12" borderId="1" xfId="7" applyNumberFormat="1" applyFont="1" applyFill="1" applyBorder="1" applyAlignment="1">
      <alignment horizontal="center" vertical="center" wrapText="1"/>
    </xf>
    <xf numFmtId="176" fontId="18" fillId="12" borderId="1" xfId="7" applyNumberFormat="1" applyFont="1" applyFill="1" applyBorder="1" applyAlignment="1">
      <alignment horizontal="center" vertical="center" wrapText="1"/>
    </xf>
    <xf numFmtId="165" fontId="15" fillId="7" borderId="1" xfId="0" applyNumberFormat="1" applyFont="1" applyFill="1" applyBorder="1" applyAlignment="1">
      <alignment vertical="center" wrapText="1"/>
    </xf>
    <xf numFmtId="165" fontId="15" fillId="0" borderId="1" xfId="4" applyNumberFormat="1" applyFont="1" applyFill="1" applyBorder="1" applyAlignment="1">
      <alignment vertical="center" wrapText="1"/>
    </xf>
    <xf numFmtId="4" fontId="15" fillId="0" borderId="1" xfId="17" applyNumberFormat="1" applyFont="1" applyBorder="1" applyAlignment="1">
      <alignment horizontal="center" vertical="center" wrapText="1"/>
    </xf>
    <xf numFmtId="4" fontId="15" fillId="15" borderId="1" xfId="17" applyNumberFormat="1" applyFont="1" applyFill="1" applyBorder="1" applyAlignment="1">
      <alignment horizontal="center" vertical="center" wrapText="1"/>
    </xf>
    <xf numFmtId="165" fontId="13" fillId="7" borderId="1" xfId="0" applyNumberFormat="1" applyFont="1" applyFill="1" applyBorder="1" applyAlignment="1">
      <alignment vertical="center" wrapText="1"/>
    </xf>
    <xf numFmtId="0" fontId="17" fillId="0" borderId="1" xfId="0" applyFont="1" applyBorder="1" applyAlignment="1">
      <alignment horizontal="justify" vertical="center" wrapText="1"/>
    </xf>
    <xf numFmtId="44" fontId="12" fillId="7" borderId="1" xfId="0" applyNumberFormat="1" applyFont="1" applyFill="1" applyBorder="1" applyAlignment="1">
      <alignment horizontal="right" vertical="center" wrapText="1"/>
    </xf>
    <xf numFmtId="170" fontId="15" fillId="0" borderId="1" xfId="0" applyNumberFormat="1" applyFont="1" applyBorder="1" applyAlignment="1">
      <alignment horizontal="center" vertical="center" wrapText="1"/>
    </xf>
    <xf numFmtId="0" fontId="10" fillId="0" borderId="0" xfId="0" applyFont="1" applyAlignment="1">
      <alignment vertical="center" wrapText="1"/>
    </xf>
    <xf numFmtId="0" fontId="18" fillId="25" borderId="1" xfId="7" applyFont="1" applyFill="1" applyBorder="1" applyAlignment="1">
      <alignment horizontal="center" vertical="center" wrapText="1"/>
    </xf>
    <xf numFmtId="0" fontId="14" fillId="2" borderId="5" xfId="0" applyFont="1" applyFill="1" applyBorder="1" applyAlignment="1">
      <alignment horizontal="center" vertical="center" wrapText="1"/>
    </xf>
    <xf numFmtId="44" fontId="13" fillId="0" borderId="0" xfId="0" applyNumberFormat="1" applyFont="1" applyAlignment="1">
      <alignment vertical="center" wrapText="1"/>
    </xf>
    <xf numFmtId="0" fontId="0" fillId="0" borderId="0" xfId="0" applyAlignment="1">
      <alignment wrapText="1"/>
    </xf>
    <xf numFmtId="44" fontId="12" fillId="22" borderId="1" xfId="0" applyNumberFormat="1" applyFont="1" applyFill="1" applyBorder="1" applyAlignment="1">
      <alignment horizontal="right" vertical="center" wrapText="1"/>
    </xf>
    <xf numFmtId="0" fontId="17" fillId="0" borderId="1" xfId="0" applyFont="1" applyBorder="1" applyAlignment="1">
      <alignment horizontal="center" vertical="center" wrapText="1"/>
    </xf>
    <xf numFmtId="44" fontId="12" fillId="22" borderId="1" xfId="0" applyNumberFormat="1" applyFont="1" applyFill="1" applyBorder="1" applyAlignment="1">
      <alignment horizontal="center" wrapText="1"/>
    </xf>
    <xf numFmtId="44" fontId="12" fillId="22" borderId="1" xfId="0" applyNumberFormat="1" applyFont="1" applyFill="1" applyBorder="1" applyAlignment="1">
      <alignment wrapText="1"/>
    </xf>
    <xf numFmtId="4" fontId="18" fillId="13" borderId="1" xfId="7" applyNumberFormat="1" applyFont="1" applyFill="1" applyBorder="1" applyAlignment="1">
      <alignment horizontal="center" vertical="center"/>
    </xf>
    <xf numFmtId="10" fontId="18" fillId="13" borderId="1" xfId="2" applyNumberFormat="1" applyFont="1" applyFill="1" applyBorder="1" applyAlignment="1">
      <alignment horizontal="center" vertical="center"/>
    </xf>
    <xf numFmtId="172" fontId="18" fillId="12" borderId="1" xfId="7" applyNumberFormat="1" applyFont="1" applyFill="1" applyBorder="1" applyAlignment="1">
      <alignment horizontal="center" vertical="center"/>
    </xf>
    <xf numFmtId="0" fontId="13" fillId="0" borderId="0" xfId="0" applyFont="1" applyAlignment="1">
      <alignment horizontal="right" vertical="center"/>
    </xf>
    <xf numFmtId="44" fontId="13" fillId="0" borderId="0" xfId="0" applyNumberFormat="1" applyFont="1" applyAlignment="1">
      <alignment horizontal="right"/>
    </xf>
    <xf numFmtId="0" fontId="7" fillId="0" borderId="0" xfId="0" applyFont="1" applyAlignment="1">
      <alignment vertical="center"/>
    </xf>
    <xf numFmtId="2" fontId="14" fillId="0" borderId="5" xfId="1" applyNumberFormat="1" applyFont="1" applyFill="1" applyBorder="1" applyAlignment="1">
      <alignment horizontal="center" vertical="center" wrapText="1"/>
    </xf>
    <xf numFmtId="44" fontId="14" fillId="0" borderId="5" xfId="0" applyNumberFormat="1" applyFont="1" applyBorder="1" applyAlignment="1">
      <alignment horizontal="center" vertical="center" wrapText="1"/>
    </xf>
    <xf numFmtId="14" fontId="15" fillId="0" borderId="2" xfId="1" applyNumberFormat="1" applyFont="1" applyFill="1" applyBorder="1" applyAlignment="1">
      <alignment horizontal="center" vertical="center"/>
    </xf>
    <xf numFmtId="0" fontId="0" fillId="0" borderId="0" xfId="0" applyAlignment="1">
      <alignment vertical="center" wrapText="1"/>
    </xf>
    <xf numFmtId="0" fontId="21" fillId="0" borderId="0" xfId="0" applyFont="1" applyAlignment="1">
      <alignment horizontal="center" vertical="center" wrapText="1"/>
    </xf>
    <xf numFmtId="0" fontId="13" fillId="11" borderId="1" xfId="0" applyFont="1" applyFill="1" applyBorder="1" applyAlignment="1">
      <alignment horizontal="center" vertical="center" wrapText="1"/>
    </xf>
    <xf numFmtId="0" fontId="13" fillId="11" borderId="1" xfId="0" applyFont="1" applyFill="1" applyBorder="1" applyAlignment="1">
      <alignment horizontal="center" vertical="center"/>
    </xf>
    <xf numFmtId="2" fontId="13" fillId="11" borderId="1" xfId="0" applyNumberFormat="1" applyFont="1" applyFill="1" applyBorder="1" applyAlignment="1">
      <alignment horizontal="center" vertical="center"/>
    </xf>
    <xf numFmtId="44" fontId="13" fillId="11" borderId="1" xfId="0" applyNumberFormat="1" applyFont="1" applyFill="1" applyBorder="1" applyAlignment="1">
      <alignment horizontal="center" vertical="center"/>
    </xf>
    <xf numFmtId="0" fontId="15" fillId="0" borderId="1" xfId="0" applyFont="1" applyBorder="1" applyAlignment="1">
      <alignment horizontal="center" vertical="center"/>
    </xf>
    <xf numFmtId="0" fontId="14" fillId="0" borderId="0" xfId="0" applyFont="1" applyAlignment="1">
      <alignment vertical="center" wrapText="1"/>
    </xf>
    <xf numFmtId="49" fontId="15" fillId="0" borderId="1" xfId="0" applyNumberFormat="1" applyFont="1" applyBorder="1" applyAlignment="1">
      <alignment horizontal="center" vertical="center" wrapText="1"/>
    </xf>
    <xf numFmtId="44" fontId="12" fillId="5" borderId="1" xfId="0" applyNumberFormat="1" applyFont="1" applyFill="1" applyBorder="1" applyAlignment="1">
      <alignment horizontal="center" vertical="center"/>
    </xf>
    <xf numFmtId="0" fontId="12" fillId="0" borderId="1" xfId="0" applyFont="1" applyBorder="1" applyAlignment="1">
      <alignment vertical="center"/>
    </xf>
    <xf numFmtId="0" fontId="12" fillId="0" borderId="1" xfId="0" applyFont="1" applyBorder="1" applyAlignment="1">
      <alignment horizontal="center" vertical="center"/>
    </xf>
    <xf numFmtId="44" fontId="12" fillId="0" borderId="1" xfId="0" applyNumberFormat="1" applyFont="1" applyBorder="1" applyAlignment="1">
      <alignment horizontal="center" vertical="center"/>
    </xf>
    <xf numFmtId="44" fontId="15" fillId="0" borderId="1" xfId="0" applyNumberFormat="1" applyFont="1" applyBorder="1" applyAlignment="1">
      <alignment horizontal="center" vertical="center"/>
    </xf>
    <xf numFmtId="44" fontId="12" fillId="7" borderId="1" xfId="0" applyNumberFormat="1" applyFont="1" applyFill="1" applyBorder="1" applyAlignment="1">
      <alignment horizontal="right" vertical="center"/>
    </xf>
    <xf numFmtId="170" fontId="15" fillId="2" borderId="1" xfId="0" applyNumberFormat="1" applyFont="1" applyFill="1" applyBorder="1" applyAlignment="1">
      <alignment horizontal="center" vertical="center" wrapText="1"/>
    </xf>
    <xf numFmtId="0" fontId="15" fillId="2" borderId="1" xfId="18" applyFont="1" applyFill="1" applyBorder="1" applyAlignment="1">
      <alignment horizontal="center" vertical="center" wrapText="1"/>
    </xf>
    <xf numFmtId="0" fontId="15" fillId="2" borderId="1" xfId="18" applyFont="1" applyFill="1" applyBorder="1" applyAlignment="1">
      <alignment horizontal="left" vertical="top" wrapText="1"/>
    </xf>
    <xf numFmtId="0" fontId="13" fillId="0" borderId="1" xfId="0" applyFont="1" applyBorder="1" applyAlignment="1">
      <alignment vertical="top" wrapText="1"/>
    </xf>
    <xf numFmtId="170" fontId="13" fillId="0" borderId="1" xfId="0" applyNumberFormat="1" applyFont="1" applyBorder="1" applyAlignment="1">
      <alignment horizontal="center" vertical="center"/>
    </xf>
    <xf numFmtId="0" fontId="17" fillId="0" borderId="1" xfId="0" applyFont="1" applyBorder="1" applyAlignment="1">
      <alignment wrapText="1"/>
    </xf>
    <xf numFmtId="0" fontId="13" fillId="0" borderId="1" xfId="0" applyFont="1" applyBorder="1" applyAlignment="1">
      <alignment wrapText="1"/>
    </xf>
    <xf numFmtId="0" fontId="15" fillId="2" borderId="1" xfId="0" applyFont="1" applyFill="1" applyBorder="1" applyAlignment="1">
      <alignment horizontal="left" vertical="top" wrapText="1"/>
    </xf>
    <xf numFmtId="0" fontId="15" fillId="2" borderId="1" xfId="18" applyFont="1" applyFill="1" applyBorder="1" applyAlignment="1">
      <alignment horizontal="center" vertical="center"/>
    </xf>
    <xf numFmtId="170" fontId="13" fillId="2" borderId="1" xfId="0" applyNumberFormat="1" applyFont="1" applyFill="1" applyBorder="1" applyAlignment="1">
      <alignment horizontal="center" vertical="center"/>
    </xf>
    <xf numFmtId="171" fontId="15" fillId="2" borderId="1" xfId="0" applyNumberFormat="1" applyFont="1" applyFill="1" applyBorder="1" applyAlignment="1">
      <alignment horizontal="center" vertical="center" wrapText="1"/>
    </xf>
    <xf numFmtId="0" fontId="19" fillId="6" borderId="5" xfId="7" applyFont="1" applyFill="1" applyBorder="1" applyAlignment="1">
      <alignment vertical="center" wrapText="1"/>
    </xf>
    <xf numFmtId="44" fontId="19" fillId="6" borderId="5" xfId="7" applyNumberFormat="1" applyFont="1" applyFill="1" applyBorder="1" applyAlignment="1">
      <alignment horizontal="right" vertical="center" wrapText="1"/>
    </xf>
    <xf numFmtId="44" fontId="12" fillId="7" borderId="5" xfId="0" applyNumberFormat="1" applyFont="1" applyFill="1" applyBorder="1" applyAlignment="1">
      <alignment horizontal="right" vertical="center"/>
    </xf>
    <xf numFmtId="0" fontId="13" fillId="2" borderId="1" xfId="0" applyFont="1" applyFill="1" applyBorder="1" applyAlignment="1">
      <alignment horizontal="center" vertical="center"/>
    </xf>
    <xf numFmtId="2" fontId="13" fillId="2" borderId="1" xfId="0" applyNumberFormat="1" applyFont="1" applyFill="1" applyBorder="1" applyAlignment="1">
      <alignment horizontal="center" vertical="center"/>
    </xf>
    <xf numFmtId="44" fontId="13" fillId="2" borderId="1" xfId="0" applyNumberFormat="1" applyFont="1" applyFill="1" applyBorder="1" applyAlignment="1">
      <alignment horizontal="center" vertical="center"/>
    </xf>
    <xf numFmtId="44" fontId="0" fillId="0" borderId="0" xfId="0" applyNumberFormat="1" applyAlignment="1">
      <alignment vertical="center"/>
    </xf>
    <xf numFmtId="0" fontId="13" fillId="2" borderId="1" xfId="0" applyFont="1" applyFill="1" applyBorder="1" applyAlignment="1">
      <alignment horizontal="center" vertical="center" wrapText="1"/>
    </xf>
    <xf numFmtId="0" fontId="21" fillId="0" borderId="0" xfId="0" applyFont="1" applyAlignment="1">
      <alignment horizontal="center" wrapText="1"/>
    </xf>
    <xf numFmtId="0" fontId="13" fillId="0" borderId="0" xfId="0" applyFont="1" applyAlignment="1">
      <alignment wrapText="1"/>
    </xf>
    <xf numFmtId="0" fontId="13" fillId="0" borderId="0" xfId="0" applyFont="1" applyAlignment="1">
      <alignment horizontal="center" vertical="center"/>
    </xf>
    <xf numFmtId="0" fontId="13" fillId="0" borderId="0" xfId="0" applyFont="1" applyAlignment="1">
      <alignment horizontal="left" vertical="center" wrapText="1"/>
    </xf>
    <xf numFmtId="165" fontId="13" fillId="0" borderId="0" xfId="0" applyNumberFormat="1" applyFont="1" applyAlignment="1">
      <alignment horizontal="center" vertical="center"/>
    </xf>
    <xf numFmtId="44" fontId="13" fillId="0" borderId="0" xfId="0" applyNumberFormat="1" applyFont="1" applyAlignment="1">
      <alignment horizontal="center" vertical="center"/>
    </xf>
    <xf numFmtId="0" fontId="15" fillId="0" borderId="1" xfId="0" quotePrefix="1" applyFont="1" applyBorder="1" applyAlignment="1">
      <alignment vertical="center" wrapText="1"/>
    </xf>
    <xf numFmtId="0" fontId="15" fillId="0" borderId="1" xfId="0" quotePrefix="1" applyFont="1" applyBorder="1" applyAlignment="1">
      <alignment horizontal="left" vertical="center" wrapText="1"/>
    </xf>
    <xf numFmtId="17" fontId="15" fillId="0" borderId="1" xfId="6" applyNumberFormat="1" applyFont="1" applyFill="1" applyBorder="1" applyAlignment="1">
      <alignment horizontal="center" vertical="center" wrapText="1"/>
    </xf>
    <xf numFmtId="4" fontId="14" fillId="0" borderId="1" xfId="3" applyNumberFormat="1" applyFont="1" applyBorder="1" applyAlignment="1">
      <alignment horizontal="center" vertical="center" wrapText="1"/>
    </xf>
    <xf numFmtId="0" fontId="12" fillId="0" borderId="10" xfId="3" applyFont="1" applyBorder="1" applyAlignment="1">
      <alignment horizontal="center" vertical="center" wrapText="1"/>
    </xf>
    <xf numFmtId="177" fontId="18" fillId="12" borderId="1" xfId="7" applyNumberFormat="1"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11" borderId="1" xfId="0" applyFont="1" applyFill="1" applyBorder="1" applyAlignment="1">
      <alignment horizontal="center" vertical="center"/>
    </xf>
    <xf numFmtId="2" fontId="15" fillId="11" borderId="1" xfId="0" applyNumberFormat="1" applyFont="1" applyFill="1" applyBorder="1" applyAlignment="1">
      <alignment horizontal="center" vertical="center"/>
    </xf>
    <xf numFmtId="44" fontId="15" fillId="11" borderId="1" xfId="0" applyNumberFormat="1" applyFont="1" applyFill="1" applyBorder="1" applyAlignment="1">
      <alignment horizontal="center" vertical="center"/>
    </xf>
    <xf numFmtId="44" fontId="18" fillId="0" borderId="1" xfId="7" applyNumberFormat="1" applyFont="1" applyBorder="1" applyAlignment="1">
      <alignment horizontal="center" vertical="center" wrapText="1"/>
    </xf>
    <xf numFmtId="0" fontId="26" fillId="0" borderId="1" xfId="19" applyFont="1" applyBorder="1" applyAlignment="1">
      <alignment horizontal="center" vertical="center" wrapText="1"/>
    </xf>
    <xf numFmtId="0" fontId="26" fillId="11" borderId="1" xfId="19" applyFont="1" applyFill="1" applyBorder="1" applyAlignment="1">
      <alignment horizontal="center" vertical="center" wrapText="1"/>
    </xf>
    <xf numFmtId="0" fontId="26" fillId="0" borderId="1" xfId="19" applyFont="1" applyFill="1" applyBorder="1" applyAlignment="1">
      <alignment horizontal="center" vertical="center" wrapText="1"/>
    </xf>
    <xf numFmtId="0" fontId="26" fillId="2" borderId="1" xfId="19" applyFont="1" applyFill="1" applyBorder="1" applyAlignment="1">
      <alignment horizontal="center" vertical="center" wrapText="1"/>
    </xf>
    <xf numFmtId="2" fontId="15" fillId="0" borderId="1" xfId="17" applyNumberFormat="1" applyFont="1" applyBorder="1" applyAlignment="1">
      <alignment horizontal="center" vertical="center" wrapText="1"/>
    </xf>
    <xf numFmtId="2" fontId="15" fillId="15" borderId="1" xfId="17" applyNumberFormat="1" applyFont="1" applyFill="1" applyBorder="1" applyAlignment="1">
      <alignment horizontal="center" vertical="center" wrapText="1"/>
    </xf>
    <xf numFmtId="2" fontId="12" fillId="0" borderId="0" xfId="0" applyNumberFormat="1" applyFont="1" applyAlignment="1">
      <alignment vertical="center" wrapText="1"/>
    </xf>
    <xf numFmtId="0" fontId="12" fillId="5" borderId="5" xfId="0" applyFont="1" applyFill="1" applyBorder="1" applyAlignment="1">
      <alignment horizontal="center"/>
    </xf>
    <xf numFmtId="10" fontId="15" fillId="3" borderId="22" xfId="5" applyNumberFormat="1" applyFont="1" applyFill="1" applyBorder="1" applyAlignment="1">
      <alignment horizontal="center" vertical="center"/>
    </xf>
    <xf numFmtId="10" fontId="15" fillId="3" borderId="32" xfId="5" applyNumberFormat="1" applyFont="1" applyFill="1" applyBorder="1" applyAlignment="1">
      <alignment horizontal="center" vertical="center"/>
    </xf>
    <xf numFmtId="10" fontId="15" fillId="3" borderId="34" xfId="5" applyNumberFormat="1" applyFont="1" applyFill="1" applyBorder="1" applyAlignment="1">
      <alignment horizontal="center" vertical="center"/>
    </xf>
    <xf numFmtId="10" fontId="14" fillId="3" borderId="33" xfId="5" applyNumberFormat="1" applyFont="1" applyFill="1" applyBorder="1" applyAlignment="1">
      <alignment horizontal="center" vertical="center"/>
    </xf>
    <xf numFmtId="10" fontId="6" fillId="0" borderId="0" xfId="0" applyNumberFormat="1" applyFont="1"/>
    <xf numFmtId="10" fontId="13" fillId="0" borderId="1" xfId="0" applyNumberFormat="1" applyFont="1" applyBorder="1" applyAlignment="1">
      <alignment horizontal="center" vertical="center"/>
    </xf>
    <xf numFmtId="165" fontId="13" fillId="0" borderId="1" xfId="0" applyNumberFormat="1" applyFont="1" applyBorder="1" applyAlignment="1">
      <alignment horizontal="right" vertical="center"/>
    </xf>
    <xf numFmtId="165" fontId="13" fillId="0" borderId="1" xfId="0" applyNumberFormat="1" applyFont="1" applyBorder="1" applyAlignment="1">
      <alignment vertical="center"/>
    </xf>
    <xf numFmtId="165" fontId="12" fillId="5" borderId="1" xfId="0" applyNumberFormat="1" applyFont="1" applyFill="1" applyBorder="1" applyAlignment="1">
      <alignment horizontal="right" vertical="center"/>
    </xf>
    <xf numFmtId="10" fontId="12" fillId="5" borderId="1" xfId="0" applyNumberFormat="1" applyFont="1" applyFill="1" applyBorder="1" applyAlignment="1">
      <alignment horizontal="center" vertical="center"/>
    </xf>
    <xf numFmtId="165" fontId="6" fillId="0" borderId="0" xfId="0" applyNumberFormat="1" applyFont="1"/>
    <xf numFmtId="10" fontId="15" fillId="0" borderId="27" xfId="5" applyNumberFormat="1" applyFont="1" applyFill="1" applyBorder="1" applyAlignment="1">
      <alignment horizontal="center" vertical="center"/>
    </xf>
    <xf numFmtId="10" fontId="15" fillId="0" borderId="22" xfId="5" applyNumberFormat="1" applyFont="1" applyFill="1" applyBorder="1" applyAlignment="1">
      <alignment horizontal="center" vertical="center"/>
    </xf>
    <xf numFmtId="10" fontId="15" fillId="0" borderId="32" xfId="5" applyNumberFormat="1" applyFont="1" applyFill="1" applyBorder="1" applyAlignment="1">
      <alignment horizontal="center" vertical="center"/>
    </xf>
    <xf numFmtId="10" fontId="15" fillId="0" borderId="33" xfId="5" applyNumberFormat="1" applyFont="1" applyFill="1" applyBorder="1" applyAlignment="1">
      <alignment horizontal="center" vertical="center"/>
    </xf>
    <xf numFmtId="10" fontId="15" fillId="0" borderId="34" xfId="5" applyNumberFormat="1" applyFont="1" applyFill="1" applyBorder="1" applyAlignment="1">
      <alignment horizontal="center" vertical="center"/>
    </xf>
    <xf numFmtId="10" fontId="15" fillId="0" borderId="24" xfId="5" applyNumberFormat="1" applyFont="1" applyFill="1" applyBorder="1" applyAlignment="1">
      <alignment horizontal="center" vertical="center"/>
    </xf>
    <xf numFmtId="10" fontId="15" fillId="0" borderId="35" xfId="5" applyNumberFormat="1" applyFont="1" applyFill="1" applyBorder="1" applyAlignment="1">
      <alignment horizontal="center" vertical="center"/>
    </xf>
    <xf numFmtId="10" fontId="15" fillId="0" borderId="25" xfId="5" applyNumberFormat="1" applyFont="1" applyFill="1" applyBorder="1" applyAlignment="1">
      <alignment horizontal="center" vertical="center"/>
    </xf>
    <xf numFmtId="0" fontId="14" fillId="2" borderId="2" xfId="0" applyFont="1" applyFill="1" applyBorder="1" applyAlignment="1">
      <alignment horizontal="center" vertical="center" wrapText="1"/>
    </xf>
    <xf numFmtId="43" fontId="15" fillId="0" borderId="1"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0" fontId="13" fillId="0" borderId="1" xfId="0" quotePrefix="1" applyFont="1" applyBorder="1" applyAlignment="1">
      <alignment horizontal="left" vertical="center" wrapText="1"/>
    </xf>
    <xf numFmtId="0" fontId="15" fillId="0" borderId="1" xfId="17" applyFont="1" applyBorder="1" applyAlignment="1">
      <alignment horizontal="left" vertical="center" wrapText="1"/>
    </xf>
    <xf numFmtId="0" fontId="13" fillId="0" borderId="1" xfId="1" applyNumberFormat="1" applyFont="1" applyFill="1" applyBorder="1" applyAlignment="1" applyProtection="1">
      <alignment horizontal="center" vertical="center" wrapText="1"/>
    </xf>
    <xf numFmtId="0" fontId="15" fillId="5" borderId="1" xfId="0" applyFont="1" applyFill="1" applyBorder="1" applyAlignment="1">
      <alignment horizontal="center" vertical="center" wrapText="1"/>
    </xf>
    <xf numFmtId="0" fontId="15" fillId="0" borderId="1" xfId="8" quotePrefix="1" applyFont="1" applyBorder="1" applyAlignment="1">
      <alignment vertical="center" wrapText="1"/>
    </xf>
    <xf numFmtId="165" fontId="15" fillId="5" borderId="1" xfId="4" applyNumberFormat="1" applyFont="1" applyFill="1" applyBorder="1" applyAlignment="1">
      <alignment horizontal="right" vertical="center" wrapText="1"/>
    </xf>
    <xf numFmtId="44" fontId="13" fillId="0" borderId="1" xfId="0" applyNumberFormat="1" applyFont="1" applyBorder="1" applyAlignment="1">
      <alignment horizontal="left" vertical="center" wrapText="1"/>
    </xf>
    <xf numFmtId="0" fontId="12" fillId="5" borderId="1" xfId="0" quotePrefix="1" applyFont="1" applyFill="1" applyBorder="1" applyAlignment="1">
      <alignment vertical="center" wrapText="1"/>
    </xf>
    <xf numFmtId="2" fontId="15" fillId="5" borderId="1" xfId="0" applyNumberFormat="1" applyFont="1" applyFill="1" applyBorder="1" applyAlignment="1">
      <alignment horizontal="center" vertical="center" wrapText="1"/>
    </xf>
    <xf numFmtId="165" fontId="15" fillId="5" borderId="1" xfId="0" applyNumberFormat="1" applyFont="1" applyFill="1" applyBorder="1" applyAlignment="1">
      <alignment horizontal="right" vertical="center" wrapText="1"/>
    </xf>
    <xf numFmtId="0" fontId="15" fillId="15" borderId="1" xfId="17" applyFont="1" applyFill="1" applyBorder="1" applyAlignment="1">
      <alignment horizontal="left" vertical="center" wrapText="1"/>
    </xf>
    <xf numFmtId="44" fontId="15" fillId="2" borderId="1" xfId="0" applyNumberFormat="1" applyFont="1" applyFill="1" applyBorder="1" applyAlignment="1">
      <alignment horizontal="center" vertical="center" wrapText="1"/>
    </xf>
    <xf numFmtId="0" fontId="15" fillId="0" borderId="1" xfId="0" quotePrefix="1" applyFont="1" applyBorder="1" applyAlignment="1">
      <alignment horizontal="center" vertical="center" wrapText="1"/>
    </xf>
    <xf numFmtId="173" fontId="15" fillId="2" borderId="1" xfId="0" applyNumberFormat="1" applyFont="1" applyFill="1" applyBorder="1" applyAlignment="1">
      <alignment horizontal="center" vertical="center" wrapText="1"/>
    </xf>
    <xf numFmtId="0" fontId="12" fillId="22" borderId="1" xfId="0" applyFont="1" applyFill="1" applyBorder="1" applyAlignment="1">
      <alignment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44" fontId="16" fillId="0" borderId="1" xfId="0" applyNumberFormat="1" applyFont="1" applyBorder="1" applyAlignment="1">
      <alignment horizontal="center" vertical="center" wrapText="1"/>
    </xf>
    <xf numFmtId="44" fontId="16" fillId="0" borderId="1" xfId="0" applyNumberFormat="1" applyFont="1" applyBorder="1" applyAlignment="1">
      <alignment vertical="center" wrapText="1"/>
    </xf>
    <xf numFmtId="0" fontId="12" fillId="0" borderId="5" xfId="3" applyFont="1" applyBorder="1" applyAlignment="1">
      <alignment horizontal="left" vertical="center" wrapText="1"/>
    </xf>
    <xf numFmtId="10" fontId="13" fillId="0" borderId="1" xfId="0" applyNumberFormat="1" applyFont="1" applyBorder="1" applyAlignment="1">
      <alignment horizontal="center" vertical="center" wrapText="1"/>
    </xf>
    <xf numFmtId="0" fontId="13" fillId="0" borderId="49" xfId="0" applyFont="1" applyBorder="1" applyAlignment="1">
      <alignment vertical="center"/>
    </xf>
    <xf numFmtId="0" fontId="13" fillId="0" borderId="35" xfId="0" applyFont="1" applyBorder="1" applyAlignment="1">
      <alignment vertical="center"/>
    </xf>
    <xf numFmtId="170" fontId="13" fillId="0" borderId="0" xfId="0" applyNumberFormat="1" applyFont="1" applyAlignment="1">
      <alignment horizontal="center" vertical="center"/>
    </xf>
    <xf numFmtId="10" fontId="15" fillId="0" borderId="50" xfId="5" applyNumberFormat="1" applyFont="1" applyFill="1" applyBorder="1" applyAlignment="1">
      <alignment horizontal="center" vertical="center"/>
    </xf>
    <xf numFmtId="44" fontId="14" fillId="10" borderId="26" xfId="11" applyNumberFormat="1" applyFont="1" applyFill="1" applyBorder="1" applyAlignment="1">
      <alignment horizontal="center" vertical="center"/>
    </xf>
    <xf numFmtId="44" fontId="14" fillId="10" borderId="23" xfId="11" applyNumberFormat="1" applyFont="1" applyFill="1" applyBorder="1" applyAlignment="1">
      <alignment horizontal="center" vertical="center"/>
    </xf>
    <xf numFmtId="44" fontId="14" fillId="10" borderId="36" xfId="11" applyNumberFormat="1" applyFont="1" applyFill="1" applyBorder="1" applyAlignment="1">
      <alignment horizontal="center" vertical="center"/>
    </xf>
    <xf numFmtId="44" fontId="14" fillId="10" borderId="51" xfId="11" applyNumberFormat="1" applyFont="1" applyFill="1" applyBorder="1" applyAlignment="1">
      <alignment horizontal="center" vertical="center"/>
    </xf>
    <xf numFmtId="44" fontId="14" fillId="0" borderId="23" xfId="11" applyNumberFormat="1" applyFont="1" applyFill="1" applyBorder="1" applyAlignment="1">
      <alignment horizontal="center" vertical="center"/>
    </xf>
    <xf numFmtId="44" fontId="14" fillId="0" borderId="26" xfId="11" applyNumberFormat="1" applyFont="1" applyFill="1" applyBorder="1" applyAlignment="1">
      <alignment horizontal="center" vertical="center"/>
    </xf>
    <xf numFmtId="44" fontId="14" fillId="0" borderId="36" xfId="11" applyNumberFormat="1" applyFont="1" applyFill="1" applyBorder="1" applyAlignment="1">
      <alignment horizontal="center" vertical="center"/>
    </xf>
    <xf numFmtId="44" fontId="14" fillId="0" borderId="51" xfId="11" applyNumberFormat="1" applyFont="1" applyFill="1" applyBorder="1" applyAlignment="1">
      <alignment horizontal="center" vertical="center"/>
    </xf>
    <xf numFmtId="10" fontId="15" fillId="3" borderId="25" xfId="5" applyNumberFormat="1" applyFont="1" applyFill="1" applyBorder="1" applyAlignment="1">
      <alignment horizontal="center" vertical="center"/>
    </xf>
    <xf numFmtId="168" fontId="14" fillId="19" borderId="5" xfId="12" applyNumberFormat="1" applyFont="1" applyFill="1" applyBorder="1" applyAlignment="1">
      <alignment horizontal="center" vertical="center"/>
    </xf>
    <xf numFmtId="0" fontId="13" fillId="20" borderId="1" xfId="0" applyFont="1" applyFill="1" applyBorder="1" applyAlignment="1">
      <alignment horizontal="center" vertical="center" wrapText="1"/>
    </xf>
    <xf numFmtId="0" fontId="13" fillId="20" borderId="1" xfId="0" applyFont="1" applyFill="1" applyBorder="1" applyAlignment="1">
      <alignment horizontal="center" vertical="center"/>
    </xf>
    <xf numFmtId="0" fontId="25" fillId="0" borderId="1" xfId="19" applyFill="1" applyBorder="1" applyAlignment="1">
      <alignment horizontal="center" vertical="center" wrapText="1"/>
    </xf>
    <xf numFmtId="0" fontId="15" fillId="20" borderId="1" xfId="0" applyFont="1" applyFill="1" applyBorder="1" applyAlignment="1">
      <alignment horizontal="center" vertical="center" wrapText="1"/>
    </xf>
    <xf numFmtId="4" fontId="15" fillId="2" borderId="1" xfId="0" applyNumberFormat="1" applyFont="1" applyFill="1" applyBorder="1" applyAlignment="1">
      <alignment horizontal="center" vertical="center" wrapText="1"/>
    </xf>
    <xf numFmtId="10" fontId="15" fillId="2" borderId="1" xfId="2" applyNumberFormat="1" applyFont="1" applyFill="1" applyBorder="1" applyAlignment="1">
      <alignment horizontal="center" vertical="center" wrapText="1"/>
    </xf>
    <xf numFmtId="0" fontId="14" fillId="2" borderId="6" xfId="0" applyFont="1" applyFill="1" applyBorder="1" applyAlignment="1">
      <alignment horizontal="left" vertical="center"/>
    </xf>
    <xf numFmtId="0" fontId="14" fillId="5" borderId="6" xfId="0" applyFont="1" applyFill="1" applyBorder="1" applyAlignment="1">
      <alignment horizontal="center" vertical="center" wrapText="1"/>
    </xf>
    <xf numFmtId="0" fontId="15" fillId="2" borderId="6" xfId="0" applyFont="1" applyFill="1" applyBorder="1" applyAlignment="1">
      <alignment horizontal="center" vertical="center" wrapText="1"/>
    </xf>
    <xf numFmtId="165" fontId="15" fillId="2" borderId="7" xfId="4" applyNumberFormat="1" applyFont="1" applyFill="1" applyBorder="1" applyAlignment="1">
      <alignment horizontal="right" vertical="center" wrapText="1"/>
    </xf>
    <xf numFmtId="165" fontId="14" fillId="9" borderId="7" xfId="1" applyNumberFormat="1" applyFont="1" applyFill="1" applyBorder="1" applyAlignment="1">
      <alignment horizontal="right" vertical="center" wrapText="1"/>
    </xf>
    <xf numFmtId="165" fontId="15" fillId="2" borderId="7" xfId="0" applyNumberFormat="1" applyFont="1" applyFill="1" applyBorder="1" applyAlignment="1">
      <alignment horizontal="right" vertical="center" wrapText="1"/>
    </xf>
    <xf numFmtId="0" fontId="13" fillId="0" borderId="6" xfId="0" applyFont="1" applyBorder="1" applyAlignment="1">
      <alignment horizontal="center" vertical="center"/>
    </xf>
    <xf numFmtId="0" fontId="15" fillId="0" borderId="6" xfId="0" applyFont="1" applyBorder="1" applyAlignment="1">
      <alignment horizontal="center" vertical="center" wrapText="1"/>
    </xf>
    <xf numFmtId="165" fontId="15" fillId="0" borderId="7" xfId="4" applyNumberFormat="1" applyFont="1" applyFill="1" applyBorder="1" applyAlignment="1">
      <alignment horizontal="right" vertical="center" wrapText="1"/>
    </xf>
    <xf numFmtId="165" fontId="15" fillId="5" borderId="7" xfId="4" applyNumberFormat="1" applyFont="1" applyFill="1" applyBorder="1" applyAlignment="1">
      <alignment horizontal="right" vertical="center" wrapText="1"/>
    </xf>
    <xf numFmtId="165" fontId="14" fillId="3" borderId="60" xfId="0" applyNumberFormat="1" applyFont="1" applyFill="1" applyBorder="1" applyAlignment="1">
      <alignment horizontal="right" vertical="center" wrapText="1"/>
    </xf>
    <xf numFmtId="0" fontId="14" fillId="2" borderId="19" xfId="0" applyFont="1" applyFill="1" applyBorder="1" applyAlignment="1">
      <alignment horizontal="left" vertical="center"/>
    </xf>
    <xf numFmtId="165" fontId="14" fillId="0" borderId="1" xfId="0" applyNumberFormat="1" applyFont="1" applyBorder="1" applyAlignment="1">
      <alignment horizontal="center" vertical="center" wrapText="1"/>
    </xf>
    <xf numFmtId="0" fontId="12" fillId="0" borderId="10" xfId="3" applyFont="1" applyBorder="1" applyAlignment="1">
      <alignment horizontal="left" vertical="center" wrapText="1"/>
    </xf>
    <xf numFmtId="0" fontId="5" fillId="0" borderId="18" xfId="0" applyFont="1" applyBorder="1" applyAlignment="1">
      <alignment vertical="center" wrapText="1"/>
    </xf>
    <xf numFmtId="4" fontId="13" fillId="2" borderId="1" xfId="0" quotePrefix="1" applyNumberFormat="1" applyFont="1" applyFill="1" applyBorder="1" applyAlignment="1">
      <alignment horizontal="center" vertical="center" wrapText="1"/>
    </xf>
    <xf numFmtId="0" fontId="14" fillId="2" borderId="10" xfId="0" applyFont="1" applyFill="1" applyBorder="1" applyAlignment="1">
      <alignment horizontal="left" vertical="center" wrapText="1"/>
    </xf>
    <xf numFmtId="0" fontId="14" fillId="2" borderId="18" xfId="0" applyFont="1" applyFill="1" applyBorder="1" applyAlignment="1">
      <alignment horizontal="center" vertical="center" wrapText="1"/>
    </xf>
    <xf numFmtId="17" fontId="15" fillId="2" borderId="10" xfId="2" applyNumberFormat="1" applyFont="1" applyFill="1" applyBorder="1" applyAlignment="1">
      <alignment horizontal="center" vertical="center" wrapText="1"/>
    </xf>
    <xf numFmtId="0" fontId="13" fillId="0" borderId="0" xfId="0" applyFont="1" applyAlignment="1">
      <alignment horizont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2" fillId="5" borderId="1" xfId="0" applyFont="1" applyFill="1" applyBorder="1" applyAlignment="1">
      <alignment horizontal="right" vertical="center"/>
    </xf>
    <xf numFmtId="0" fontId="13" fillId="0" borderId="2" xfId="0" applyFont="1" applyBorder="1" applyAlignment="1">
      <alignment horizontal="left"/>
    </xf>
    <xf numFmtId="0" fontId="13" fillId="0" borderId="3" xfId="0" applyFont="1" applyBorder="1" applyAlignment="1">
      <alignment horizontal="left"/>
    </xf>
    <xf numFmtId="0" fontId="13" fillId="0" borderId="4" xfId="0" applyFont="1" applyBorder="1" applyAlignment="1">
      <alignment horizontal="left"/>
    </xf>
    <xf numFmtId="165" fontId="13" fillId="0" borderId="18" xfId="0" applyNumberFormat="1" applyFont="1" applyBorder="1" applyAlignment="1">
      <alignment horizontal="left"/>
    </xf>
    <xf numFmtId="165" fontId="13" fillId="0" borderId="17" xfId="0" applyNumberFormat="1" applyFont="1" applyBorder="1" applyAlignment="1">
      <alignment horizontal="left"/>
    </xf>
    <xf numFmtId="165" fontId="13" fillId="0" borderId="28" xfId="0" applyNumberFormat="1" applyFont="1" applyBorder="1" applyAlignment="1">
      <alignment horizontal="left"/>
    </xf>
    <xf numFmtId="0" fontId="13" fillId="0" borderId="1" xfId="0" applyFont="1" applyBorder="1" applyAlignment="1">
      <alignment horizontal="left" vertical="center" wrapText="1"/>
    </xf>
    <xf numFmtId="0" fontId="13" fillId="0" borderId="1" xfId="0" applyFont="1" applyBorder="1" applyAlignment="1">
      <alignment horizontal="center" vertical="center"/>
    </xf>
    <xf numFmtId="0" fontId="21" fillId="0" borderId="0" xfId="0" applyFont="1" applyAlignment="1">
      <alignment horizontal="center" wrapText="1"/>
    </xf>
    <xf numFmtId="165" fontId="13" fillId="0" borderId="1" xfId="0" applyNumberFormat="1" applyFont="1" applyBorder="1" applyAlignment="1">
      <alignment horizontal="center" vertical="center"/>
    </xf>
    <xf numFmtId="0" fontId="13" fillId="11" borderId="1" xfId="0" applyFont="1" applyFill="1" applyBorder="1" applyAlignment="1">
      <alignment horizontal="center" vertical="center"/>
    </xf>
    <xf numFmtId="0" fontId="13" fillId="11" borderId="1" xfId="0" applyFont="1" applyFill="1" applyBorder="1" applyAlignment="1">
      <alignment horizontal="left" vertical="center" wrapText="1"/>
    </xf>
    <xf numFmtId="165" fontId="13" fillId="11" borderId="1" xfId="0" applyNumberFormat="1" applyFont="1" applyFill="1" applyBorder="1" applyAlignment="1">
      <alignment horizontal="center" vertical="center"/>
    </xf>
    <xf numFmtId="0" fontId="15" fillId="11" borderId="1" xfId="0" applyFont="1" applyFill="1" applyBorder="1" applyAlignment="1">
      <alignment horizontal="center" vertical="center"/>
    </xf>
    <xf numFmtId="0" fontId="15" fillId="11" borderId="1" xfId="0" applyFont="1" applyFill="1" applyBorder="1" applyAlignment="1">
      <alignment horizontal="left" vertical="center" wrapText="1"/>
    </xf>
    <xf numFmtId="165" fontId="15" fillId="11" borderId="1" xfId="0" applyNumberFormat="1" applyFont="1" applyFill="1" applyBorder="1" applyAlignment="1">
      <alignment horizontal="center" vertical="center"/>
    </xf>
    <xf numFmtId="44" fontId="13" fillId="11" borderId="1" xfId="0" applyNumberFormat="1" applyFont="1" applyFill="1" applyBorder="1" applyAlignment="1">
      <alignment horizontal="center" vertical="center"/>
    </xf>
    <xf numFmtId="44" fontId="13" fillId="0" borderId="1" xfId="0" applyNumberFormat="1" applyFont="1" applyBorder="1" applyAlignment="1">
      <alignment horizontal="center" vertical="center"/>
    </xf>
    <xf numFmtId="0" fontId="13" fillId="20" borderId="1" xfId="0" applyFont="1" applyFill="1" applyBorder="1" applyAlignment="1">
      <alignment horizontal="center" vertical="center"/>
    </xf>
    <xf numFmtId="0" fontId="9" fillId="0" borderId="2" xfId="0" applyFont="1" applyBorder="1" applyAlignment="1">
      <alignment horizontal="center" vertical="center" wrapText="1"/>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8" xfId="0" applyFont="1" applyFill="1" applyBorder="1" applyAlignment="1">
      <alignment horizontal="center" vertical="center" wrapText="1"/>
    </xf>
    <xf numFmtId="165" fontId="15" fillId="2" borderId="2" xfId="0" applyNumberFormat="1" applyFont="1" applyFill="1" applyBorder="1" applyAlignment="1">
      <alignment horizontal="left" vertical="center"/>
    </xf>
    <xf numFmtId="165" fontId="15" fillId="2" borderId="3" xfId="0" applyNumberFormat="1" applyFont="1" applyFill="1" applyBorder="1" applyAlignment="1">
      <alignment horizontal="left" vertical="center"/>
    </xf>
    <xf numFmtId="165" fontId="15" fillId="2" borderId="4" xfId="0" applyNumberFormat="1" applyFont="1" applyFill="1" applyBorder="1" applyAlignment="1">
      <alignment horizontal="left" vertical="center"/>
    </xf>
    <xf numFmtId="0" fontId="23" fillId="19" borderId="43" xfId="0" applyFont="1" applyFill="1" applyBorder="1" applyAlignment="1">
      <alignment horizontal="center" vertical="center"/>
    </xf>
    <xf numFmtId="0" fontId="23" fillId="19" borderId="38" xfId="0" applyFont="1" applyFill="1" applyBorder="1" applyAlignment="1">
      <alignment horizontal="center" vertical="center"/>
    </xf>
    <xf numFmtId="0" fontId="23" fillId="19" borderId="44" xfId="0" applyFont="1" applyFill="1" applyBorder="1" applyAlignment="1">
      <alignment horizontal="center" vertical="center"/>
    </xf>
    <xf numFmtId="0" fontId="13" fillId="11" borderId="1" xfId="0" quotePrefix="1" applyFont="1" applyFill="1" applyBorder="1" applyAlignment="1">
      <alignment horizontal="left" vertical="center" wrapText="1"/>
    </xf>
    <xf numFmtId="0" fontId="13" fillId="2" borderId="1" xfId="0" applyFont="1" applyFill="1" applyBorder="1" applyAlignment="1">
      <alignment horizontal="center" vertical="center"/>
    </xf>
    <xf numFmtId="0" fontId="13" fillId="2" borderId="1" xfId="0" applyFont="1" applyFill="1" applyBorder="1" applyAlignment="1">
      <alignment horizontal="left" vertical="center" wrapText="1"/>
    </xf>
    <xf numFmtId="0" fontId="13" fillId="2" borderId="1" xfId="0" quotePrefix="1" applyFont="1" applyFill="1" applyBorder="1" applyAlignment="1">
      <alignment horizontal="left" vertical="center" wrapText="1"/>
    </xf>
    <xf numFmtId="0" fontId="12" fillId="18" borderId="1" xfId="3" applyFont="1" applyFill="1" applyBorder="1" applyAlignment="1">
      <alignment horizontal="right" vertical="center"/>
    </xf>
    <xf numFmtId="165" fontId="13" fillId="0" borderId="2" xfId="0" applyNumberFormat="1" applyFont="1" applyBorder="1" applyAlignment="1">
      <alignment horizontal="left"/>
    </xf>
    <xf numFmtId="165" fontId="13" fillId="0" borderId="4" xfId="0" applyNumberFormat="1" applyFont="1" applyBorder="1" applyAlignment="1">
      <alignment horizontal="left"/>
    </xf>
    <xf numFmtId="4" fontId="15" fillId="2" borderId="1" xfId="0" applyNumberFormat="1" applyFont="1" applyFill="1" applyBorder="1" applyAlignment="1">
      <alignment horizontal="center" vertical="center" wrapText="1"/>
    </xf>
    <xf numFmtId="4" fontId="15" fillId="0" borderId="1" xfId="0" applyNumberFormat="1" applyFont="1" applyBorder="1" applyAlignment="1">
      <alignment horizontal="center" vertical="center" wrapText="1"/>
    </xf>
    <xf numFmtId="0" fontId="14" fillId="11"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2" fillId="5" borderId="1" xfId="0" quotePrefix="1" applyFont="1" applyFill="1" applyBorder="1" applyAlignment="1">
      <alignment horizontal="left" vertical="center" wrapText="1"/>
    </xf>
    <xf numFmtId="4" fontId="13" fillId="0" borderId="1" xfId="0" applyNumberFormat="1" applyFont="1" applyBorder="1" applyAlignment="1">
      <alignment horizontal="center" vertical="center"/>
    </xf>
    <xf numFmtId="0" fontId="15" fillId="2" borderId="1" xfId="0" applyFont="1" applyFill="1" applyBorder="1" applyAlignment="1">
      <alignment horizontal="center" vertical="center" wrapText="1"/>
    </xf>
    <xf numFmtId="4" fontId="16" fillId="2" borderId="1" xfId="0" applyNumberFormat="1" applyFont="1" applyFill="1" applyBorder="1" applyAlignment="1">
      <alignment horizontal="center" vertical="center" wrapText="1"/>
    </xf>
    <xf numFmtId="43" fontId="15" fillId="0" borderId="1" xfId="1" applyFont="1" applyFill="1" applyBorder="1" applyAlignment="1">
      <alignment horizontal="center" vertical="center" wrapText="1"/>
    </xf>
    <xf numFmtId="0" fontId="13" fillId="0" borderId="1" xfId="0" applyFont="1" applyBorder="1" applyAlignment="1">
      <alignment horizontal="center" vertical="center" wrapText="1"/>
    </xf>
    <xf numFmtId="0" fontId="14" fillId="5" borderId="1" xfId="0" applyFont="1" applyFill="1" applyBorder="1" applyAlignment="1">
      <alignment horizontal="left" vertical="center" wrapText="1"/>
    </xf>
    <xf numFmtId="0" fontId="9" fillId="0" borderId="1" xfId="0" applyFont="1" applyBorder="1" applyAlignment="1">
      <alignment horizontal="center" vertical="center" wrapText="1"/>
    </xf>
    <xf numFmtId="8" fontId="15" fillId="2" borderId="18" xfId="0" applyNumberFormat="1" applyFont="1" applyFill="1" applyBorder="1" applyAlignment="1">
      <alignment horizontal="left" vertical="center" wrapText="1"/>
    </xf>
    <xf numFmtId="8" fontId="15" fillId="2" borderId="17" xfId="0" applyNumberFormat="1" applyFont="1" applyFill="1" applyBorder="1" applyAlignment="1">
      <alignment horizontal="left" vertical="center" wrapText="1"/>
    </xf>
    <xf numFmtId="8" fontId="15" fillId="2" borderId="28" xfId="0" applyNumberFormat="1" applyFont="1" applyFill="1" applyBorder="1" applyAlignment="1">
      <alignment horizontal="left" vertical="center" wrapText="1"/>
    </xf>
    <xf numFmtId="0" fontId="27" fillId="26" borderId="14" xfId="0" applyFont="1" applyFill="1" applyBorder="1" applyAlignment="1">
      <alignment horizontal="center" vertical="center" wrapText="1"/>
    </xf>
    <xf numFmtId="0" fontId="27" fillId="26" borderId="15" xfId="0" applyFont="1" applyFill="1" applyBorder="1" applyAlignment="1">
      <alignment horizontal="center" vertical="center" wrapText="1"/>
    </xf>
    <xf numFmtId="0" fontId="27" fillId="26" borderId="16" xfId="0" applyFont="1" applyFill="1" applyBorder="1" applyAlignment="1">
      <alignment horizontal="center" vertical="center" wrapText="1"/>
    </xf>
    <xf numFmtId="43" fontId="12" fillId="0" borderId="5" xfId="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4" fontId="14" fillId="2" borderId="17" xfId="0" applyNumberFormat="1" applyFont="1" applyFill="1" applyBorder="1" applyAlignment="1">
      <alignment horizontal="center" vertical="center" wrapText="1"/>
    </xf>
    <xf numFmtId="4" fontId="14" fillId="2" borderId="28" xfId="0" applyNumberFormat="1" applyFont="1" applyFill="1" applyBorder="1" applyAlignment="1">
      <alignment horizontal="center" vertical="center" wrapText="1"/>
    </xf>
    <xf numFmtId="4" fontId="14" fillId="2" borderId="13" xfId="0" applyNumberFormat="1" applyFont="1" applyFill="1" applyBorder="1" applyAlignment="1">
      <alignment horizontal="center" vertical="center" wrapText="1"/>
    </xf>
    <xf numFmtId="4" fontId="14" fillId="2" borderId="8" xfId="0" applyNumberFormat="1"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35" xfId="0" applyFont="1" applyFill="1" applyBorder="1" applyAlignment="1">
      <alignment horizontal="center" vertical="center" wrapText="1"/>
    </xf>
    <xf numFmtId="0" fontId="12" fillId="5" borderId="1" xfId="0" applyFont="1" applyFill="1" applyBorder="1" applyAlignment="1">
      <alignment horizontal="left" vertical="center" wrapText="1"/>
    </xf>
    <xf numFmtId="0" fontId="14" fillId="5" borderId="1" xfId="0" quotePrefix="1" applyFont="1" applyFill="1" applyBorder="1" applyAlignment="1">
      <alignment horizontal="left" vertical="center" wrapText="1"/>
    </xf>
    <xf numFmtId="0" fontId="9" fillId="0" borderId="62"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64" xfId="0" applyFont="1" applyBorder="1" applyAlignment="1">
      <alignment horizontal="center" vertical="center" wrapText="1"/>
    </xf>
    <xf numFmtId="0" fontId="14" fillId="9" borderId="6" xfId="0" applyFont="1" applyFill="1" applyBorder="1" applyAlignment="1">
      <alignment horizontal="right" vertical="center" wrapText="1"/>
    </xf>
    <xf numFmtId="0" fontId="14" fillId="9" borderId="1" xfId="0" applyFont="1" applyFill="1" applyBorder="1" applyAlignment="1">
      <alignment horizontal="right" vertical="center" wrapText="1"/>
    </xf>
    <xf numFmtId="0" fontId="14" fillId="5" borderId="7" xfId="0" applyFont="1" applyFill="1" applyBorder="1" applyAlignment="1">
      <alignment horizontal="left" vertical="center" wrapText="1"/>
    </xf>
    <xf numFmtId="165" fontId="14" fillId="0" borderId="57" xfId="0" applyNumberFormat="1" applyFont="1" applyBorder="1" applyAlignment="1">
      <alignment horizontal="right" vertical="center" wrapText="1"/>
    </xf>
    <xf numFmtId="165" fontId="14" fillId="0" borderId="7" xfId="0" applyNumberFormat="1" applyFont="1" applyBorder="1" applyAlignment="1">
      <alignment horizontal="right" vertical="center" wrapText="1"/>
    </xf>
    <xf numFmtId="0" fontId="14" fillId="2" borderId="4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0" borderId="48" xfId="0" applyFont="1" applyBorder="1" applyAlignment="1">
      <alignment horizontal="center" vertical="center" wrapText="1"/>
    </xf>
    <xf numFmtId="0" fontId="14" fillId="0" borderId="1" xfId="0" applyFont="1" applyBorder="1" applyAlignment="1">
      <alignment horizontal="center" vertical="center" wrapText="1"/>
    </xf>
    <xf numFmtId="2" fontId="14" fillId="0" borderId="48" xfId="1" applyNumberFormat="1" applyFont="1" applyFill="1" applyBorder="1" applyAlignment="1">
      <alignment horizontal="center" vertical="center" wrapText="1"/>
    </xf>
    <xf numFmtId="2" fontId="14" fillId="0" borderId="1" xfId="1" applyNumberFormat="1" applyFont="1" applyFill="1" applyBorder="1" applyAlignment="1">
      <alignment horizontal="center" vertical="center" wrapText="1"/>
    </xf>
    <xf numFmtId="165" fontId="14" fillId="2" borderId="45" xfId="0" applyNumberFormat="1" applyFont="1" applyFill="1" applyBorder="1" applyAlignment="1">
      <alignment horizontal="center" vertical="center" wrapText="1"/>
    </xf>
    <xf numFmtId="165" fontId="14" fillId="2" borderId="47" xfId="0" applyNumberFormat="1" applyFont="1" applyFill="1" applyBorder="1" applyAlignment="1">
      <alignment horizontal="center" vertical="center" wrapText="1"/>
    </xf>
    <xf numFmtId="0" fontId="12" fillId="5" borderId="7" xfId="0" quotePrefix="1" applyFont="1" applyFill="1" applyBorder="1" applyAlignment="1">
      <alignment horizontal="left" vertical="center" wrapText="1"/>
    </xf>
    <xf numFmtId="0" fontId="14" fillId="11" borderId="6" xfId="0" applyFont="1" applyFill="1" applyBorder="1" applyAlignment="1">
      <alignment horizontal="center" vertical="center" wrapText="1"/>
    </xf>
    <xf numFmtId="0" fontId="14" fillId="11" borderId="7"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0" borderId="2" xfId="1" applyNumberFormat="1" applyFont="1" applyFill="1" applyBorder="1" applyAlignment="1">
      <alignment horizontal="center" vertical="center"/>
    </xf>
    <xf numFmtId="0" fontId="15" fillId="0" borderId="4" xfId="1" applyNumberFormat="1" applyFont="1" applyFill="1" applyBorder="1" applyAlignment="1">
      <alignment horizontal="center" vertical="center"/>
    </xf>
    <xf numFmtId="165" fontId="14" fillId="2" borderId="49" xfId="0" applyNumberFormat="1" applyFont="1" applyFill="1" applyBorder="1" applyAlignment="1">
      <alignment horizontal="center" vertical="center" wrapText="1"/>
    </xf>
    <xf numFmtId="165" fontId="14" fillId="2" borderId="61" xfId="0" applyNumberFormat="1" applyFont="1" applyFill="1" applyBorder="1" applyAlignment="1">
      <alignment horizontal="center" vertical="center" wrapText="1"/>
    </xf>
    <xf numFmtId="165" fontId="14" fillId="2" borderId="12" xfId="0" applyNumberFormat="1" applyFont="1" applyFill="1" applyBorder="1" applyAlignment="1">
      <alignment horizontal="center" vertical="center" wrapText="1"/>
    </xf>
    <xf numFmtId="165" fontId="14" fillId="2" borderId="53" xfId="0" applyNumberFormat="1" applyFont="1" applyFill="1" applyBorder="1" applyAlignment="1">
      <alignment horizontal="center" vertical="center" wrapText="1"/>
    </xf>
    <xf numFmtId="0" fontId="15" fillId="2" borderId="12" xfId="0" applyFont="1" applyFill="1" applyBorder="1" applyAlignment="1">
      <alignment horizontal="left" vertical="center"/>
    </xf>
    <xf numFmtId="0" fontId="15" fillId="2" borderId="13" xfId="0" applyFont="1" applyFill="1" applyBorder="1" applyAlignment="1">
      <alignment horizontal="left" vertical="center"/>
    </xf>
    <xf numFmtId="0" fontId="15" fillId="2" borderId="8" xfId="0" applyFont="1" applyFill="1" applyBorder="1" applyAlignment="1">
      <alignment horizontal="left" vertical="center"/>
    </xf>
    <xf numFmtId="0" fontId="27" fillId="26" borderId="54" xfId="0" applyFont="1" applyFill="1" applyBorder="1" applyAlignment="1">
      <alignment horizontal="center" vertical="center"/>
    </xf>
    <xf numFmtId="0" fontId="27" fillId="26" borderId="29" xfId="0" applyFont="1" applyFill="1" applyBorder="1" applyAlignment="1">
      <alignment horizontal="center" vertical="center"/>
    </xf>
    <xf numFmtId="0" fontId="27" fillId="26" borderId="55" xfId="0" applyFont="1" applyFill="1" applyBorder="1" applyAlignment="1">
      <alignment horizontal="center" vertical="center"/>
    </xf>
    <xf numFmtId="0" fontId="15" fillId="2" borderId="1" xfId="0" applyFont="1" applyFill="1" applyBorder="1" applyAlignment="1">
      <alignment horizontal="left" vertical="center"/>
    </xf>
    <xf numFmtId="10" fontId="15" fillId="0" borderId="2" xfId="2" applyNumberFormat="1" applyFont="1" applyFill="1" applyBorder="1" applyAlignment="1">
      <alignment horizontal="center" vertical="center"/>
    </xf>
    <xf numFmtId="10" fontId="15" fillId="0" borderId="4" xfId="2" applyNumberFormat="1" applyFont="1" applyFill="1" applyBorder="1" applyAlignment="1">
      <alignment horizontal="center" vertical="center"/>
    </xf>
    <xf numFmtId="165" fontId="15" fillId="2" borderId="1" xfId="0" applyNumberFormat="1" applyFont="1" applyFill="1" applyBorder="1" applyAlignment="1">
      <alignment horizontal="left" vertical="center"/>
    </xf>
    <xf numFmtId="17" fontId="15" fillId="0" borderId="2" xfId="1" applyNumberFormat="1" applyFont="1" applyFill="1" applyBorder="1" applyAlignment="1">
      <alignment horizontal="center" vertical="center"/>
    </xf>
    <xf numFmtId="17" fontId="15" fillId="0" borderId="4" xfId="1" applyNumberFormat="1" applyFont="1" applyFill="1" applyBorder="1" applyAlignment="1">
      <alignment horizontal="center" vertical="center"/>
    </xf>
    <xf numFmtId="0" fontId="14" fillId="2" borderId="56" xfId="0" applyFont="1" applyFill="1" applyBorder="1" applyAlignment="1">
      <alignment horizontal="center" vertical="center" wrapText="1"/>
    </xf>
    <xf numFmtId="0" fontId="14" fillId="2" borderId="6" xfId="0" applyFont="1" applyFill="1" applyBorder="1" applyAlignment="1">
      <alignment horizontal="center" vertical="center" wrapText="1"/>
    </xf>
    <xf numFmtId="165" fontId="14" fillId="2" borderId="18" xfId="0" applyNumberFormat="1" applyFont="1" applyFill="1" applyBorder="1" applyAlignment="1">
      <alignment horizontal="center" vertical="center" wrapText="1"/>
    </xf>
    <xf numFmtId="165" fontId="14" fillId="2" borderId="52" xfId="0" applyNumberFormat="1" applyFont="1" applyFill="1" applyBorder="1" applyAlignment="1">
      <alignment horizontal="center" vertical="center" wrapText="1"/>
    </xf>
    <xf numFmtId="0" fontId="14" fillId="3" borderId="58" xfId="0" applyFont="1" applyFill="1" applyBorder="1" applyAlignment="1">
      <alignment horizontal="right" vertical="center" wrapText="1"/>
    </xf>
    <xf numFmtId="0" fontId="14" fillId="3" borderId="59" xfId="0" applyFont="1" applyFill="1" applyBorder="1" applyAlignment="1">
      <alignment horizontal="right" vertical="center" wrapText="1"/>
    </xf>
    <xf numFmtId="0" fontId="18" fillId="0" borderId="1" xfId="7" applyFont="1" applyBorder="1" applyAlignment="1">
      <alignment horizontal="left" vertical="center" wrapText="1"/>
    </xf>
    <xf numFmtId="0" fontId="12" fillId="5" borderId="1" xfId="0" applyFont="1" applyFill="1" applyBorder="1" applyAlignment="1">
      <alignment horizontal="center" vertical="center" wrapText="1"/>
    </xf>
    <xf numFmtId="0" fontId="19" fillId="21" borderId="1" xfId="7" applyFont="1" applyFill="1" applyBorder="1" applyAlignment="1">
      <alignment horizontal="left" vertical="center" wrapText="1"/>
    </xf>
    <xf numFmtId="0" fontId="12" fillId="22" borderId="1" xfId="0" applyFont="1" applyFill="1" applyBorder="1" applyAlignment="1">
      <alignment horizontal="left"/>
    </xf>
    <xf numFmtId="0" fontId="9" fillId="0" borderId="1" xfId="3" applyFont="1" applyBorder="1" applyAlignment="1">
      <alignment horizontal="center" vertical="center" wrapText="1"/>
    </xf>
    <xf numFmtId="0" fontId="13" fillId="0" borderId="18" xfId="3" applyFont="1" applyBorder="1" applyAlignment="1">
      <alignment horizontal="center" vertical="center" wrapText="1"/>
    </xf>
    <xf numFmtId="0" fontId="13" fillId="0" borderId="17" xfId="3" applyFont="1" applyBorder="1" applyAlignment="1">
      <alignment horizontal="center" vertical="center" wrapText="1"/>
    </xf>
    <xf numFmtId="0" fontId="13" fillId="0" borderId="28" xfId="3" applyFont="1" applyBorder="1" applyAlignment="1">
      <alignment horizontal="center" vertical="center" wrapText="1"/>
    </xf>
    <xf numFmtId="0" fontId="12" fillId="5" borderId="5" xfId="0" applyFont="1" applyFill="1" applyBorder="1" applyAlignment="1">
      <alignment horizontal="center" vertical="center" wrapText="1"/>
    </xf>
    <xf numFmtId="0" fontId="13" fillId="0" borderId="2" xfId="3" applyFont="1" applyBorder="1" applyAlignment="1">
      <alignment horizontal="left" vertical="center" wrapText="1"/>
    </xf>
    <xf numFmtId="0" fontId="13" fillId="0" borderId="4" xfId="3" applyFont="1" applyBorder="1" applyAlignment="1">
      <alignment horizontal="left" vertical="center" wrapText="1"/>
    </xf>
    <xf numFmtId="165" fontId="13" fillId="0" borderId="18" xfId="3" applyNumberFormat="1" applyFont="1" applyBorder="1" applyAlignment="1">
      <alignment horizontal="left" vertical="center" wrapText="1"/>
    </xf>
    <xf numFmtId="165" fontId="13" fillId="0" borderId="28" xfId="3" applyNumberFormat="1" applyFont="1" applyBorder="1" applyAlignment="1">
      <alignment horizontal="left" vertical="center" wrapText="1"/>
    </xf>
    <xf numFmtId="0" fontId="27" fillId="26" borderId="14" xfId="3" applyFont="1" applyFill="1" applyBorder="1" applyAlignment="1">
      <alignment horizontal="center" vertical="center" wrapText="1"/>
    </xf>
    <xf numFmtId="0" fontId="27" fillId="26" borderId="15" xfId="3" applyFont="1" applyFill="1" applyBorder="1" applyAlignment="1">
      <alignment horizontal="center" vertical="center" wrapText="1"/>
    </xf>
    <xf numFmtId="0" fontId="27" fillId="26" borderId="16" xfId="3" applyFont="1" applyFill="1" applyBorder="1" applyAlignment="1">
      <alignment horizontal="center" vertical="center" wrapText="1"/>
    </xf>
    <xf numFmtId="0" fontId="13" fillId="0" borderId="1" xfId="3" applyFont="1" applyBorder="1" applyAlignment="1">
      <alignment horizontal="left" vertical="center" wrapText="1"/>
    </xf>
    <xf numFmtId="0" fontId="12" fillId="0" borderId="1" xfId="3" applyFont="1" applyBorder="1" applyAlignment="1">
      <alignment horizontal="center" vertical="center" wrapText="1"/>
    </xf>
    <xf numFmtId="0" fontId="12" fillId="5" borderId="1" xfId="0" quotePrefix="1" applyFont="1" applyFill="1" applyBorder="1" applyAlignment="1">
      <alignment horizontal="center" vertical="center" wrapText="1"/>
    </xf>
    <xf numFmtId="0" fontId="18" fillId="0" borderId="1" xfId="7" applyFont="1" applyBorder="1" applyAlignment="1">
      <alignment horizontal="center" vertical="center" wrapText="1"/>
    </xf>
    <xf numFmtId="0" fontId="12" fillId="22" borderId="1" xfId="0" applyFont="1" applyFill="1" applyBorder="1" applyAlignment="1">
      <alignment horizontal="left" wrapText="1"/>
    </xf>
    <xf numFmtId="44" fontId="19" fillId="24" borderId="1" xfId="7" applyNumberFormat="1" applyFont="1" applyFill="1" applyBorder="1" applyAlignment="1">
      <alignment horizontal="center" vertical="center" wrapText="1"/>
    </xf>
    <xf numFmtId="0" fontId="13" fillId="0" borderId="1" xfId="0" applyFont="1" applyBorder="1" applyAlignment="1">
      <alignment horizontal="center"/>
    </xf>
    <xf numFmtId="0" fontId="19" fillId="0" borderId="1" xfId="7" applyFont="1" applyBorder="1" applyAlignment="1">
      <alignment horizontal="left" vertical="center" wrapText="1"/>
    </xf>
    <xf numFmtId="44" fontId="19" fillId="14" borderId="1" xfId="7" applyNumberFormat="1" applyFont="1" applyFill="1" applyBorder="1" applyAlignment="1">
      <alignment horizontal="center" vertical="center" wrapText="1"/>
    </xf>
    <xf numFmtId="0" fontId="19" fillId="24" borderId="1" xfId="7" applyFont="1" applyFill="1" applyBorder="1" applyAlignment="1">
      <alignment horizontal="left" vertical="center" wrapText="1"/>
    </xf>
    <xf numFmtId="0" fontId="19" fillId="0" borderId="1" xfId="7" applyFont="1" applyBorder="1" applyAlignment="1">
      <alignment horizontal="center" vertical="center" wrapText="1"/>
    </xf>
    <xf numFmtId="165" fontId="13" fillId="0" borderId="2" xfId="3" applyNumberFormat="1" applyFont="1" applyBorder="1" applyAlignment="1">
      <alignment horizontal="left" vertical="center" wrapText="1"/>
    </xf>
    <xf numFmtId="165" fontId="13" fillId="0" borderId="4" xfId="3" applyNumberFormat="1" applyFont="1" applyBorder="1" applyAlignment="1">
      <alignment horizontal="left" vertical="center" wrapText="1"/>
    </xf>
    <xf numFmtId="0" fontId="13" fillId="0" borderId="2" xfId="3" applyFont="1" applyBorder="1" applyAlignment="1">
      <alignment horizontal="center" vertical="center" wrapText="1"/>
    </xf>
    <xf numFmtId="0" fontId="13" fillId="0" borderId="3" xfId="3" applyFont="1" applyBorder="1" applyAlignment="1">
      <alignment horizontal="center" vertical="center" wrapText="1"/>
    </xf>
    <xf numFmtId="0" fontId="13" fillId="0" borderId="4" xfId="3" applyFont="1" applyBorder="1" applyAlignment="1">
      <alignment horizontal="center" vertical="center" wrapText="1"/>
    </xf>
    <xf numFmtId="0" fontId="12" fillId="5" borderId="5" xfId="0" quotePrefix="1" applyFont="1" applyFill="1" applyBorder="1" applyAlignment="1">
      <alignment horizontal="center" vertical="center" wrapText="1"/>
    </xf>
    <xf numFmtId="0" fontId="18" fillId="0" borderId="2" xfId="7" applyFont="1" applyBorder="1" applyAlignment="1">
      <alignment horizontal="left" vertical="center" wrapText="1"/>
    </xf>
    <xf numFmtId="0" fontId="18" fillId="0" borderId="3" xfId="7" applyFont="1" applyBorder="1" applyAlignment="1">
      <alignment horizontal="left" vertical="center" wrapText="1"/>
    </xf>
    <xf numFmtId="0" fontId="18" fillId="0" borderId="4" xfId="7" applyFont="1" applyBorder="1" applyAlignment="1">
      <alignment horizontal="left" vertical="center" wrapText="1"/>
    </xf>
    <xf numFmtId="0" fontId="18" fillId="0" borderId="1" xfId="7" applyFont="1" applyBorder="1" applyAlignment="1">
      <alignment horizontal="left" vertical="center"/>
    </xf>
    <xf numFmtId="0" fontId="19" fillId="6" borderId="1" xfId="7" applyFont="1" applyFill="1" applyBorder="1" applyAlignment="1">
      <alignment horizontal="left" vertical="center" wrapText="1"/>
    </xf>
    <xf numFmtId="0" fontId="12" fillId="5" borderId="1" xfId="0" applyFont="1" applyFill="1" applyBorder="1" applyAlignment="1">
      <alignment horizontal="center" vertical="center"/>
    </xf>
    <xf numFmtId="0" fontId="19" fillId="6" borderId="5" xfId="7" applyFont="1" applyFill="1" applyBorder="1" applyAlignment="1">
      <alignment horizontal="left" vertical="center" wrapText="1"/>
    </xf>
    <xf numFmtId="0" fontId="19" fillId="6" borderId="2" xfId="7" applyFont="1" applyFill="1" applyBorder="1" applyAlignment="1">
      <alignment horizontal="left" vertical="center" wrapText="1"/>
    </xf>
    <xf numFmtId="0" fontId="19" fillId="6" borderId="3" xfId="7" applyFont="1" applyFill="1" applyBorder="1" applyAlignment="1">
      <alignment horizontal="left" vertical="center" wrapText="1"/>
    </xf>
    <xf numFmtId="0" fontId="19" fillId="6" borderId="4" xfId="7" applyFont="1" applyFill="1" applyBorder="1" applyAlignment="1">
      <alignment horizontal="left" vertical="center" wrapText="1"/>
    </xf>
    <xf numFmtId="178" fontId="15" fillId="0" borderId="1" xfId="5" applyNumberFormat="1" applyFont="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left" vertical="center"/>
    </xf>
    <xf numFmtId="39" fontId="15" fillId="0" borderId="18" xfId="11" applyNumberFormat="1" applyFont="1" applyBorder="1" applyAlignment="1">
      <alignment horizontal="center" vertical="center"/>
    </xf>
    <xf numFmtId="39" fontId="15" fillId="0" borderId="28" xfId="11" applyNumberFormat="1" applyFont="1" applyBorder="1" applyAlignment="1">
      <alignment horizontal="center" vertical="center"/>
    </xf>
    <xf numFmtId="39" fontId="15" fillId="0" borderId="12" xfId="11" applyNumberFormat="1" applyFont="1" applyBorder="1" applyAlignment="1">
      <alignment horizontal="center" vertical="center"/>
    </xf>
    <xf numFmtId="39" fontId="15" fillId="0" borderId="8" xfId="11" applyNumberFormat="1" applyFont="1" applyBorder="1" applyAlignment="1">
      <alignment horizontal="center" vertical="center"/>
    </xf>
    <xf numFmtId="0" fontId="14" fillId="0" borderId="1" xfId="0" applyFont="1" applyBorder="1" applyAlignment="1">
      <alignment vertical="center"/>
    </xf>
    <xf numFmtId="0" fontId="14" fillId="19" borderId="5" xfId="12" applyFont="1" applyFill="1" applyBorder="1" applyAlignment="1">
      <alignment horizontal="right" vertical="center"/>
    </xf>
    <xf numFmtId="44" fontId="14" fillId="19" borderId="5" xfId="12" applyNumberFormat="1" applyFont="1" applyFill="1" applyBorder="1" applyAlignment="1">
      <alignment horizontal="center" vertical="center"/>
    </xf>
    <xf numFmtId="0" fontId="9" fillId="0" borderId="17" xfId="0" applyFont="1" applyBorder="1" applyAlignment="1">
      <alignment horizontal="center" vertical="center" wrapText="1"/>
    </xf>
    <xf numFmtId="0" fontId="9" fillId="0" borderId="28" xfId="0" applyFont="1" applyBorder="1" applyAlignment="1">
      <alignment horizontal="center" vertical="center" wrapText="1"/>
    </xf>
    <xf numFmtId="0" fontId="8" fillId="19" borderId="45" xfId="0" applyFont="1" applyFill="1" applyBorder="1" applyAlignment="1">
      <alignment horizontal="center"/>
    </xf>
    <xf numFmtId="0" fontId="8" fillId="19" borderId="46" xfId="0" applyFont="1" applyFill="1" applyBorder="1" applyAlignment="1">
      <alignment horizontal="center"/>
    </xf>
    <xf numFmtId="0" fontId="8" fillId="19" borderId="47" xfId="0" applyFont="1" applyFill="1" applyBorder="1" applyAlignment="1">
      <alignment horizontal="center"/>
    </xf>
    <xf numFmtId="0" fontId="14" fillId="0" borderId="29" xfId="0" applyFont="1" applyBorder="1" applyAlignment="1">
      <alignment horizontal="center" vertical="center"/>
    </xf>
    <xf numFmtId="0" fontId="14" fillId="0" borderId="29" xfId="0" applyFont="1" applyBorder="1" applyAlignment="1">
      <alignment vertical="center"/>
    </xf>
    <xf numFmtId="39" fontId="15" fillId="0" borderId="37" xfId="11" applyNumberFormat="1" applyFont="1" applyBorder="1" applyAlignment="1">
      <alignment horizontal="center" vertical="center"/>
    </xf>
    <xf numFmtId="39" fontId="15" fillId="0" borderId="36" xfId="11" applyNumberFormat="1" applyFont="1" applyBorder="1" applyAlignment="1">
      <alignment horizontal="center" vertical="center"/>
    </xf>
    <xf numFmtId="178" fontId="15" fillId="0" borderId="29" xfId="5" applyNumberFormat="1" applyFont="1" applyBorder="1" applyAlignment="1">
      <alignment horizontal="center" vertical="center"/>
    </xf>
    <xf numFmtId="39" fontId="15" fillId="0" borderId="1" xfId="11" applyNumberFormat="1" applyFont="1" applyBorder="1" applyAlignment="1">
      <alignment horizontal="center" vertical="center"/>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164" fontId="14" fillId="0" borderId="50" xfId="6" applyFont="1" applyFill="1" applyBorder="1" applyAlignment="1">
      <alignment horizontal="center" vertical="center"/>
    </xf>
    <xf numFmtId="164" fontId="14" fillId="0" borderId="51" xfId="6" applyFont="1" applyFill="1" applyBorder="1" applyAlignment="1">
      <alignment horizontal="center" vertical="center"/>
    </xf>
    <xf numFmtId="0" fontId="27" fillId="26" borderId="62" xfId="0" applyFont="1" applyFill="1" applyBorder="1" applyAlignment="1">
      <alignment horizontal="center" vertical="center"/>
    </xf>
    <xf numFmtId="0" fontId="27" fillId="26" borderId="63" xfId="0" applyFont="1" applyFill="1" applyBorder="1" applyAlignment="1">
      <alignment horizontal="center" vertical="center"/>
    </xf>
    <xf numFmtId="0" fontId="27" fillId="26" borderId="64" xfId="0" applyFont="1" applyFill="1" applyBorder="1" applyAlignment="1">
      <alignment horizontal="center" vertical="center"/>
    </xf>
    <xf numFmtId="164" fontId="14" fillId="0" borderId="35" xfId="6" applyFont="1" applyFill="1" applyBorder="1" applyAlignment="1">
      <alignment horizontal="center" vertical="center"/>
    </xf>
    <xf numFmtId="164" fontId="14" fillId="0" borderId="36" xfId="6" applyFont="1" applyFill="1" applyBorder="1" applyAlignment="1">
      <alignment horizontal="center" vertical="center"/>
    </xf>
    <xf numFmtId="165" fontId="15" fillId="0" borderId="1" xfId="0" applyNumberFormat="1" applyFont="1" applyBorder="1" applyAlignment="1">
      <alignment horizontal="left" vertical="center" wrapText="1"/>
    </xf>
    <xf numFmtId="1" fontId="14" fillId="0" borderId="1" xfId="0" applyNumberFormat="1" applyFont="1" applyBorder="1" applyAlignment="1">
      <alignment horizontal="center" vertical="center"/>
    </xf>
    <xf numFmtId="164" fontId="14" fillId="0" borderId="1" xfId="6" applyFont="1" applyFill="1" applyBorder="1" applyAlignment="1">
      <alignment horizontal="center" vertical="center"/>
    </xf>
    <xf numFmtId="9" fontId="14" fillId="0" borderId="5" xfId="5" applyFont="1" applyFill="1" applyBorder="1" applyAlignment="1">
      <alignment horizontal="center" vertical="center"/>
    </xf>
    <xf numFmtId="9" fontId="14" fillId="0" borderId="1" xfId="5" applyFont="1" applyFill="1" applyBorder="1" applyAlignment="1">
      <alignment horizontal="center" vertical="center"/>
    </xf>
    <xf numFmtId="164" fontId="14" fillId="0" borderId="30" xfId="6" applyFont="1" applyFill="1" applyBorder="1" applyAlignment="1">
      <alignment horizontal="center" vertical="center"/>
    </xf>
    <xf numFmtId="164" fontId="14" fillId="0" borderId="31" xfId="6" applyFont="1" applyFill="1" applyBorder="1" applyAlignment="1">
      <alignment horizontal="center" vertical="center"/>
    </xf>
    <xf numFmtId="164" fontId="14" fillId="0" borderId="25" xfId="6" applyFont="1" applyFill="1" applyBorder="1" applyAlignment="1">
      <alignment horizontal="center" vertical="center"/>
    </xf>
    <xf numFmtId="164" fontId="14" fillId="0" borderId="26" xfId="6" applyFont="1" applyFill="1" applyBorder="1" applyAlignment="1">
      <alignment horizontal="center" vertical="center"/>
    </xf>
    <xf numFmtId="164" fontId="14" fillId="0" borderId="33" xfId="6" applyFont="1" applyFill="1" applyBorder="1" applyAlignment="1">
      <alignment horizontal="center" vertical="center"/>
    </xf>
    <xf numFmtId="164" fontId="14" fillId="0" borderId="34" xfId="6" applyFont="1" applyFill="1" applyBorder="1" applyAlignment="1">
      <alignment horizontal="center" vertical="center"/>
    </xf>
    <xf numFmtId="164" fontId="14" fillId="0" borderId="23" xfId="6" applyFont="1" applyFill="1" applyBorder="1" applyAlignment="1">
      <alignment horizontal="center" vertical="center"/>
    </xf>
    <xf numFmtId="0" fontId="27" fillId="26" borderId="29" xfId="3" applyFont="1" applyFill="1" applyBorder="1" applyAlignment="1">
      <alignment horizontal="center" vertical="center" wrapText="1"/>
    </xf>
    <xf numFmtId="0" fontId="27" fillId="26" borderId="43" xfId="3" applyFont="1" applyFill="1" applyBorder="1" applyAlignment="1">
      <alignment horizontal="center" vertical="center" wrapText="1"/>
    </xf>
    <xf numFmtId="0" fontId="27" fillId="26" borderId="38" xfId="3" applyFont="1" applyFill="1" applyBorder="1" applyAlignment="1">
      <alignment horizontal="center" vertical="center" wrapText="1"/>
    </xf>
    <xf numFmtId="0" fontId="27" fillId="26" borderId="44" xfId="3" applyFont="1" applyFill="1" applyBorder="1" applyAlignment="1">
      <alignment horizontal="center" vertical="center" wrapText="1"/>
    </xf>
    <xf numFmtId="165" fontId="14" fillId="7" borderId="1" xfId="0" applyNumberFormat="1" applyFont="1" applyFill="1" applyBorder="1" applyAlignment="1">
      <alignment horizontal="center" vertical="center" wrapText="1"/>
    </xf>
  </cellXfs>
  <cellStyles count="20">
    <cellStyle name="Hiperlink" xfId="19" builtinId="8"/>
    <cellStyle name="Moeda 2 10" xfId="16" xr:uid="{00000000-0005-0000-0000-000000000000}"/>
    <cellStyle name="Moeda 3" xfId="11" xr:uid="{00000000-0005-0000-0000-000001000000}"/>
    <cellStyle name="Normal" xfId="0" builtinId="0"/>
    <cellStyle name="Normal 2" xfId="3" xr:uid="{00000000-0005-0000-0000-000003000000}"/>
    <cellStyle name="Normal 2 2 10" xfId="14" xr:uid="{00000000-0005-0000-0000-000004000000}"/>
    <cellStyle name="Normal 2 2 3 10" xfId="13" xr:uid="{00000000-0005-0000-0000-000005000000}"/>
    <cellStyle name="Normal 206" xfId="8" xr:uid="{00000000-0005-0000-0000-000006000000}"/>
    <cellStyle name="Normal 3" xfId="17" xr:uid="{00000000-0005-0000-0000-000007000000}"/>
    <cellStyle name="Normal 4" xfId="18" xr:uid="{00000000-0005-0000-0000-000008000000}"/>
    <cellStyle name="Normal 6 3" xfId="9" xr:uid="{00000000-0005-0000-0000-000009000000}"/>
    <cellStyle name="Normal_Pesquisa no referencial 10 de maio de 2013" xfId="7" xr:uid="{00000000-0005-0000-0000-00000A000000}"/>
    <cellStyle name="Normal_RAÇÃO" xfId="12" xr:uid="{00000000-0005-0000-0000-00000B000000}"/>
    <cellStyle name="Nota 2" xfId="10" xr:uid="{00000000-0005-0000-0000-00000C000000}"/>
    <cellStyle name="Porcentagem" xfId="2" builtinId="5"/>
    <cellStyle name="Porcentagem 2" xfId="5" xr:uid="{00000000-0005-0000-0000-00000E000000}"/>
    <cellStyle name="Separador de milhares 3" xfId="4" xr:uid="{00000000-0005-0000-0000-00000F000000}"/>
    <cellStyle name="Vírgula" xfId="1" builtinId="3"/>
    <cellStyle name="Vírgula 2" xfId="6" xr:uid="{00000000-0005-0000-0000-000011000000}"/>
    <cellStyle name="Vírgula 2 10" xfId="15" xr:uid="{00000000-0005-0000-0000-000012000000}"/>
  </cellStyles>
  <dxfs count="603">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font>
        <color theme="0"/>
      </font>
    </dxf>
    <dxf>
      <font>
        <color theme="0"/>
      </font>
    </dxf>
    <dxf>
      <font>
        <color theme="0"/>
      </font>
    </dxf>
  </dxfs>
  <tableStyles count="0" defaultTableStyle="TableStyleMedium2" defaultPivotStyle="PivotStyleLight16"/>
  <colors>
    <mruColors>
      <color rgb="FF71F5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542925</xdr:colOff>
      <xdr:row>3</xdr:row>
      <xdr:rowOff>190500</xdr:rowOff>
    </xdr:from>
    <xdr:to>
      <xdr:col>2</xdr:col>
      <xdr:colOff>321209</xdr:colOff>
      <xdr:row>3</xdr:row>
      <xdr:rowOff>979870</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2525" y="590550"/>
          <a:ext cx="730784" cy="78937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666750</xdr:colOff>
      <xdr:row>3</xdr:row>
      <xdr:rowOff>161925</xdr:rowOff>
    </xdr:from>
    <xdr:to>
      <xdr:col>2</xdr:col>
      <xdr:colOff>445034</xdr:colOff>
      <xdr:row>3</xdr:row>
      <xdr:rowOff>951295</xdr:rowOff>
    </xdr:to>
    <xdr:pic>
      <xdr:nvPicPr>
        <xdr:cNvPr id="2" name="Image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50" y="495300"/>
          <a:ext cx="730784" cy="7893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571500</xdr:colOff>
      <xdr:row>1</xdr:row>
      <xdr:rowOff>180975</xdr:rowOff>
    </xdr:from>
    <xdr:to>
      <xdr:col>3</xdr:col>
      <xdr:colOff>730784</xdr:colOff>
      <xdr:row>1</xdr:row>
      <xdr:rowOff>979870</xdr:rowOff>
    </xdr:to>
    <xdr:pic>
      <xdr:nvPicPr>
        <xdr:cNvPr id="2" name="Imagem 1">
          <a:extLst>
            <a:ext uri="{FF2B5EF4-FFF2-40B4-BE49-F238E27FC236}">
              <a16:creationId xmlns:a16="http://schemas.microsoft.com/office/drawing/2014/main" id="{BEE4F868-6C5A-44A0-AB6C-5CA285D4B5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4980" y="363855"/>
          <a:ext cx="753644" cy="7893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911803</xdr:colOff>
      <xdr:row>23</xdr:row>
      <xdr:rowOff>121491</xdr:rowOff>
    </xdr:from>
    <xdr:to>
      <xdr:col>2</xdr:col>
      <xdr:colOff>3186545</xdr:colOff>
      <xdr:row>33</xdr:row>
      <xdr:rowOff>97307</xdr:rowOff>
    </xdr:to>
    <xdr:pic>
      <xdr:nvPicPr>
        <xdr:cNvPr id="11" name="Picture 16">
          <a:extLst>
            <a:ext uri="{FF2B5EF4-FFF2-40B4-BE49-F238E27FC236}">
              <a16:creationId xmlns:a16="http://schemas.microsoft.com/office/drawing/2014/main" id="{00000000-0008-0000-0A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5258" y="5055249"/>
          <a:ext cx="3259954" cy="1669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383642</xdr:colOff>
      <xdr:row>2</xdr:row>
      <xdr:rowOff>180975</xdr:rowOff>
    </xdr:from>
    <xdr:to>
      <xdr:col>2</xdr:col>
      <xdr:colOff>161926</xdr:colOff>
      <xdr:row>2</xdr:row>
      <xdr:rowOff>970345</xdr:rowOff>
    </xdr:to>
    <xdr:pic>
      <xdr:nvPicPr>
        <xdr:cNvPr id="2" name="Image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3242" y="514350"/>
          <a:ext cx="730784" cy="7893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613099</xdr:colOff>
      <xdr:row>2</xdr:row>
      <xdr:rowOff>167174</xdr:rowOff>
    </xdr:from>
    <xdr:to>
      <xdr:col>2</xdr:col>
      <xdr:colOff>655750</xdr:colOff>
      <xdr:row>2</xdr:row>
      <xdr:rowOff>956544</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5140" y="509296"/>
          <a:ext cx="757998" cy="7893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125384</xdr:colOff>
      <xdr:row>2</xdr:row>
      <xdr:rowOff>163657</xdr:rowOff>
    </xdr:from>
    <xdr:to>
      <xdr:col>2</xdr:col>
      <xdr:colOff>879894</xdr:colOff>
      <xdr:row>2</xdr:row>
      <xdr:rowOff>956837</xdr:rowOff>
    </xdr:to>
    <xdr:pic>
      <xdr:nvPicPr>
        <xdr:cNvPr id="2" name="Image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9611" y="501362"/>
          <a:ext cx="754510" cy="7931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611505</xdr:colOff>
      <xdr:row>2</xdr:row>
      <xdr:rowOff>165735</xdr:rowOff>
    </xdr:from>
    <xdr:to>
      <xdr:col>2</xdr:col>
      <xdr:colOff>389789</xdr:colOff>
      <xdr:row>2</xdr:row>
      <xdr:rowOff>955105</xdr:rowOff>
    </xdr:to>
    <xdr:pic>
      <xdr:nvPicPr>
        <xdr:cNvPr id="2" name="Image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345" y="531495"/>
          <a:ext cx="761264" cy="7893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647700</xdr:colOff>
      <xdr:row>2</xdr:row>
      <xdr:rowOff>175260</xdr:rowOff>
    </xdr:from>
    <xdr:to>
      <xdr:col>2</xdr:col>
      <xdr:colOff>425984</xdr:colOff>
      <xdr:row>2</xdr:row>
      <xdr:rowOff>964630</xdr:rowOff>
    </xdr:to>
    <xdr:pic>
      <xdr:nvPicPr>
        <xdr:cNvPr id="2" name="Image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2540" y="518160"/>
          <a:ext cx="761264" cy="789370"/>
        </a:xfrm>
        <a:prstGeom prst="rect">
          <a:avLst/>
        </a:prstGeom>
      </xdr:spPr>
    </xdr:pic>
    <xdr:clientData/>
  </xdr:twoCellAnchor>
  <xdr:twoCellAnchor editAs="oneCell">
    <xdr:from>
      <xdr:col>1</xdr:col>
      <xdr:colOff>611505</xdr:colOff>
      <xdr:row>2</xdr:row>
      <xdr:rowOff>165735</xdr:rowOff>
    </xdr:from>
    <xdr:to>
      <xdr:col>2</xdr:col>
      <xdr:colOff>389789</xdr:colOff>
      <xdr:row>2</xdr:row>
      <xdr:rowOff>955105</xdr:rowOff>
    </xdr:to>
    <xdr:pic>
      <xdr:nvPicPr>
        <xdr:cNvPr id="3" name="Imagem 2">
          <a:extLst>
            <a:ext uri="{FF2B5EF4-FFF2-40B4-BE49-F238E27FC236}">
              <a16:creationId xmlns:a16="http://schemas.microsoft.com/office/drawing/2014/main" id="{06005486-6310-40D9-AC6C-2D0F286935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345" y="531495"/>
          <a:ext cx="761264" cy="7893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611505</xdr:colOff>
      <xdr:row>2</xdr:row>
      <xdr:rowOff>165735</xdr:rowOff>
    </xdr:from>
    <xdr:to>
      <xdr:col>2</xdr:col>
      <xdr:colOff>389789</xdr:colOff>
      <xdr:row>2</xdr:row>
      <xdr:rowOff>955105</xdr:rowOff>
    </xdr:to>
    <xdr:pic>
      <xdr:nvPicPr>
        <xdr:cNvPr id="4" name="Imagem 3">
          <a:extLst>
            <a:ext uri="{FF2B5EF4-FFF2-40B4-BE49-F238E27FC236}">
              <a16:creationId xmlns:a16="http://schemas.microsoft.com/office/drawing/2014/main" id="{D76F493B-2F25-4C23-B4CA-3920525004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345" y="531495"/>
          <a:ext cx="761264" cy="78937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569595</xdr:colOff>
      <xdr:row>2</xdr:row>
      <xdr:rowOff>179070</xdr:rowOff>
    </xdr:from>
    <xdr:to>
      <xdr:col>2</xdr:col>
      <xdr:colOff>347879</xdr:colOff>
      <xdr:row>2</xdr:row>
      <xdr:rowOff>968440</xdr:rowOff>
    </xdr:to>
    <xdr:pic>
      <xdr:nvPicPr>
        <xdr:cNvPr id="2" name="Imagem 1">
          <a:extLst>
            <a:ext uri="{FF2B5EF4-FFF2-40B4-BE49-F238E27FC236}">
              <a16:creationId xmlns:a16="http://schemas.microsoft.com/office/drawing/2014/main" id="{2C3FE16C-686B-4F30-BC62-F86889C68A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4435" y="514350"/>
          <a:ext cx="761264" cy="78937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3" Type="http://schemas.openxmlformats.org/officeDocument/2006/relationships/hyperlink" Target="https://produto.mercadolivre.com.br/MLB-2121748144-disjuntor-tripolar-90a-curva-c-din-10ka-soprano-_JM" TargetMode="External"/><Relationship Id="rId18" Type="http://schemas.openxmlformats.org/officeDocument/2006/relationships/hyperlink" Target="https://www.leroymerlin.com.br/torneira-clinica-hospitalar-mesa-alavanca-cotovelo-bica-alta_1567150681?term=torneira+cotovelo&amp;searchTerm=torneira+cotovelo&amp;searchType=quickProduct" TargetMode="External"/><Relationship Id="rId26" Type="http://schemas.openxmlformats.org/officeDocument/2006/relationships/hyperlink" Target="http://www.infraeletrocalhas.com.br/eletrocalhas.asp" TargetMode="External"/><Relationship Id="rId39" Type="http://schemas.openxmlformats.org/officeDocument/2006/relationships/hyperlink" Target="http://www.infraeletrocalhas.com.br/eletrocalhas.asp" TargetMode="External"/><Relationship Id="rId21" Type="http://schemas.openxmlformats.org/officeDocument/2006/relationships/hyperlink" Target="https://www.leroymerlin.com.br/torneira-clinica-hospitalar-parede-fixa-alavanca-cotovelo_1567880246?term=TORNEIRA+CLINICA+PAREDE&amp;searchTerm=TORNEIRA+CLINICA+PAREDE&amp;searchType=quickProduct" TargetMode="External"/><Relationship Id="rId34" Type="http://schemas.openxmlformats.org/officeDocument/2006/relationships/hyperlink" Target="https://www.blight.com.br/luminarias/embutidos/embutido-led-newline-590led4-slim-ii-15w-4000k-biv-227x227mm?gclid=EAIaIQobChMIzYLL3dm5-QIVESSRCh3Qhgc6EAQYAiABEgItPfD_BwE&amp;variant_id=5851" TargetMode="External"/><Relationship Id="rId42" Type="http://schemas.openxmlformats.org/officeDocument/2006/relationships/hyperlink" Target="http://www.infraeletrocalhas.com.br/eletrocalhas.asp" TargetMode="External"/><Relationship Id="rId47" Type="http://schemas.openxmlformats.org/officeDocument/2006/relationships/hyperlink" Target="http://www.infraeletrocalhas.com.br/eletrocalhas.asp" TargetMode="External"/><Relationship Id="rId50" Type="http://schemas.openxmlformats.org/officeDocument/2006/relationships/hyperlink" Target="https://www.hidroja.com/produto/amanco-soldavel-mr-te-de-reducao-soldavel-40x25-mm.html?utm_source=Site&amp;utm_medium=GoogleMerchant&amp;utm_campaign=GoogleMerchant&amp;gclid=CjwKCAjw6MKXBhA5EiwANWLODL61oq8QScTvfAVPjgu34Btrbz8RdBNvmS4O1BfQta0r6opQq2oKthoCUVcQAvD_BwE" TargetMode="External"/><Relationship Id="rId55" Type="http://schemas.openxmlformats.org/officeDocument/2006/relationships/hyperlink" Target="http://www.infraeletrocalhas.com.br/eletrocalhas.asp" TargetMode="External"/><Relationship Id="rId7" Type="http://schemas.openxmlformats.org/officeDocument/2006/relationships/hyperlink" Target="https://www.extra.com.br/alarme-audiovisual-para-banheiro-pne-sem-fio-com-3-botoeira/p/1529955275" TargetMode="External"/><Relationship Id="rId2" Type="http://schemas.openxmlformats.org/officeDocument/2006/relationships/hyperlink" Target="https://www.santil.com.br/produto/presilha-em-latao-para-cabo-de-3550mm-com-furo-5mm-paratec/2897812" TargetMode="External"/><Relationship Id="rId16" Type="http://schemas.openxmlformats.org/officeDocument/2006/relationships/hyperlink" Target="https://www.leroymerlin.com.br/disjuntor-tripolar-din-curva-c-80a-steck_88507930" TargetMode="External"/><Relationship Id="rId20" Type="http://schemas.openxmlformats.org/officeDocument/2006/relationships/hyperlink" Target="https://www.cassol.com.br/torneira-clinica-hospitalar-mesa-alavanca-cotovelo-bica-alta-100287850/p" TargetMode="External"/><Relationship Id="rId29" Type="http://schemas.openxmlformats.org/officeDocument/2006/relationships/hyperlink" Target="https://rceletrica.com.br/" TargetMode="External"/><Relationship Id="rId41" Type="http://schemas.openxmlformats.org/officeDocument/2006/relationships/hyperlink" Target="http://www.infraeletrocalhas.com.br/eletrocalhas.asp" TargetMode="External"/><Relationship Id="rId54" Type="http://schemas.openxmlformats.org/officeDocument/2006/relationships/hyperlink" Target="http://www.infraeletrocalhas.com.br/eletrocalhas.asp" TargetMode="External"/><Relationship Id="rId62" Type="http://schemas.openxmlformats.org/officeDocument/2006/relationships/drawing" Target="../drawings/drawing2.xml"/><Relationship Id="rId1" Type="http://schemas.openxmlformats.org/officeDocument/2006/relationships/hyperlink" Target="http://www.lojaeletrica.com.br/basket.aspx?idsku=2410203600347&amp;src=?idProduct=2410203600347&amp;iddept=0" TargetMode="External"/><Relationship Id="rId6" Type="http://schemas.openxmlformats.org/officeDocument/2006/relationships/hyperlink" Target="https://www.multimega.com.br/produto/barramento-terra-11-terminais-89-e-119mm-verde-sbt11-steck-79428?utm_source=&amp;utm_medium=&amp;utm_campaign=&amp;gclid=EAIaIQobChMI9J7q_7Co-QIV78mUCR1tewzlEAQYBSABEgIV8vD_BwE" TargetMode="External"/><Relationship Id="rId11" Type="http://schemas.openxmlformats.org/officeDocument/2006/relationships/hyperlink" Target="https://www.estronicdistribuicao.com.br/xalk178g-botoeira-plast-botao-emer-soco-gir-dest-1na2nf-verm?utm_source=Site&amp;utm_medium=GoogleMerchant&amp;utm_campaign=GoogleMerchant&amp;gclid=EAIaIQobChMIlPi-xeqo-QIVQ-ZcCh1IfA9mEAYYAyABEgKX9fD_BwE" TargetMode="External"/><Relationship Id="rId24" Type="http://schemas.openxmlformats.org/officeDocument/2006/relationships/hyperlink" Target="https://livencasa.com/Barra-de-Apoio-Conforto-40cm-Polido-Deca?utm_source=google&amp;utm_medium=cpc&amp;utm_campaign=17444549690&amp;utm_term=&amp;utm_content=%7badsetid%7d&amp;device=c&amp;gclid=CjwKCAjw6MKXBhA5EiwANWLODMNhiUVCPEih3boXlHFIFJWW4kz30JibrVen0LIn0QefjsNB4KHuexoCfFoQAvD_BwE" TargetMode="External"/><Relationship Id="rId32" Type="http://schemas.openxmlformats.org/officeDocument/2006/relationships/hyperlink" Target="https://www.clarezo.com.br/carrinho/index" TargetMode="External"/><Relationship Id="rId37" Type="http://schemas.openxmlformats.org/officeDocument/2006/relationships/hyperlink" Target="https://www.iluminim.com.br/carrinho/index" TargetMode="External"/><Relationship Id="rId40" Type="http://schemas.openxmlformats.org/officeDocument/2006/relationships/hyperlink" Target="https://rceletrica.com.br/" TargetMode="External"/><Relationship Id="rId45" Type="http://schemas.openxmlformats.org/officeDocument/2006/relationships/hyperlink" Target="http://www.infraeletrocalhas.com.br/eletrocalhas.asp" TargetMode="External"/><Relationship Id="rId53" Type="http://schemas.openxmlformats.org/officeDocument/2006/relationships/hyperlink" Target="http://www.infraeletrocalhas.com.br/eletrocalhas.asp" TargetMode="External"/><Relationship Id="rId58" Type="http://schemas.openxmlformats.org/officeDocument/2006/relationships/hyperlink" Target="https://www.eletroluz.net/70238/prt-750-barra-chata-aluminio-7-8-x-1-8--x-6m-/" TargetMode="External"/><Relationship Id="rId5" Type="http://schemas.openxmlformats.org/officeDocument/2006/relationships/hyperlink" Target="https://www.eletricatakei.com.br/barramento-neutro-11-terminais-sbn11-steck-azul/p" TargetMode="External"/><Relationship Id="rId15" Type="http://schemas.openxmlformats.org/officeDocument/2006/relationships/hyperlink" Target="https://www.jabu.com.br/carrinho" TargetMode="External"/><Relationship Id="rId23" Type="http://schemas.openxmlformats.org/officeDocument/2006/relationships/hyperlink" Target="https://www.certiva.com.br/torneira-clinica-de-parede-alavanca-bica-movel-proflux-07469" TargetMode="External"/><Relationship Id="rId28" Type="http://schemas.openxmlformats.org/officeDocument/2006/relationships/hyperlink" Target="http://www.infraeletrocalhas.com.br/eletrocalhas.asp" TargetMode="External"/><Relationship Id="rId36" Type="http://schemas.openxmlformats.org/officeDocument/2006/relationships/hyperlink" Target="https://www.emidiopais.com.br/checkout/cart?session_id=o07qp53m9o6o1mhp5hn5dbb575&amp;store_id=917841" TargetMode="External"/><Relationship Id="rId49" Type="http://schemas.openxmlformats.org/officeDocument/2006/relationships/hyperlink" Target="https://www.ferramentaskennedy.com.br/100052030/te-reducao-soldavel-amanco-40x25mm?utm_source=google&amp;utm_medium=cpc&amp;utm_campaign=google_shop&amp;gclid=CjwKCAjw6MKXBhA5EiwANWLODHKNo1EoXbbavL2oDkNRC_5JP5bt9eLNY8Kz5LNBjS6XAtJVskuo2BoCJqoQAvD_BwE" TargetMode="External"/><Relationship Id="rId57" Type="http://schemas.openxmlformats.org/officeDocument/2006/relationships/hyperlink" Target="https://produto.mercadolivre.com.br/MLB-3203090862-barra-chata-aluminio-78-x-18-222mm-x-318mm" TargetMode="External"/><Relationship Id="rId61" Type="http://schemas.openxmlformats.org/officeDocument/2006/relationships/printerSettings" Target="../printerSettings/printerSettings2.bin"/><Relationship Id="rId10" Type="http://schemas.openxmlformats.org/officeDocument/2006/relationships/hyperlink" Target="https://www.lojadasempre.com.br/MLB-2173840695-boto-sos-sem-fio-banheiro-pne-alerta-na-internet-aplicativo-_JM" TargetMode="External"/><Relationship Id="rId19" Type="http://schemas.openxmlformats.org/officeDocument/2006/relationships/hyperlink" Target="https://www.certiva.com.br/copia-de-torneira-clinica-de-alavanca-mesa-acionamento-superior-25-cm-06921" TargetMode="External"/><Relationship Id="rId31" Type="http://schemas.openxmlformats.org/officeDocument/2006/relationships/hyperlink" Target="https://www.clarezo.com.br/carrinho/index" TargetMode="External"/><Relationship Id="rId44" Type="http://schemas.openxmlformats.org/officeDocument/2006/relationships/hyperlink" Target="https://rceletrica.com.br/" TargetMode="External"/><Relationship Id="rId52" Type="http://schemas.openxmlformats.org/officeDocument/2006/relationships/hyperlink" Target="https://rceletrica.com.br/" TargetMode="External"/><Relationship Id="rId60" Type="http://schemas.openxmlformats.org/officeDocument/2006/relationships/hyperlink" Target="https://www.magazineluiza.com.br/disjuntor-em-caixa-moldada-tripolar-90a-spk/p/hdgjaa3f1k/cj/djcm/?&amp;seller_id=spk" TargetMode="External"/><Relationship Id="rId4" Type="http://schemas.openxmlformats.org/officeDocument/2006/relationships/hyperlink" Target="https://www.leroymerlin.com.br/barramento-neutro-11-terminais-azul-steck_90332305" TargetMode="External"/><Relationship Id="rId9" Type="http://schemas.openxmlformats.org/officeDocument/2006/relationships/hyperlink" Target="https://produto.mercadolivre.com.br/MLB-2638323766-botoeira-com-fio-acionador-sos-sanitario-2x-normal-aberto-_JM" TargetMode="External"/><Relationship Id="rId14" Type="http://schemas.openxmlformats.org/officeDocument/2006/relationships/hyperlink" Target="https://www.lojaeletropaulo.com.br/disjuntores/1593-disjuntor-tripolar-80a-din-curva-c-mdw-c80-weg-7890355193938.html" TargetMode="External"/><Relationship Id="rId22" Type="http://schemas.openxmlformats.org/officeDocument/2006/relationships/hyperlink" Target="https://www.cassol.com.br/torneira-clinica-hospitalar-parede-fixa-alavanca-cotovelo-100291745/p" TargetMode="External"/><Relationship Id="rId27" Type="http://schemas.openxmlformats.org/officeDocument/2006/relationships/hyperlink" Target="https://rceletrica.com.br/" TargetMode="External"/><Relationship Id="rId30" Type="http://schemas.openxmlformats.org/officeDocument/2006/relationships/hyperlink" Target="https://www.clarezo.com.br/carrinho/index" TargetMode="External"/><Relationship Id="rId35" Type="http://schemas.openxmlformats.org/officeDocument/2006/relationships/hyperlink" Target="https://www.dimensional.com.br/checkout/" TargetMode="External"/><Relationship Id="rId43" Type="http://schemas.openxmlformats.org/officeDocument/2006/relationships/hyperlink" Target="http://www.infraeletrocalhas.com.br/eletrocalhas.asp" TargetMode="External"/><Relationship Id="rId48" Type="http://schemas.openxmlformats.org/officeDocument/2006/relationships/hyperlink" Target="https://rceletrica.com.br/" TargetMode="External"/><Relationship Id="rId56" Type="http://schemas.openxmlformats.org/officeDocument/2006/relationships/hyperlink" Target="https://www.eletrosul.com.br/para-raios-spda/presilha-para-cabos-35-a-50mm" TargetMode="External"/><Relationship Id="rId8" Type="http://schemas.openxmlformats.org/officeDocument/2006/relationships/hyperlink" Target="https://torneiraeletronica.com.br/produto/alarme-audiovisual-emergencia-pcd-pne-idoso-nbr9050-audiovisual-sem-fio-113-003/163048" TargetMode="External"/><Relationship Id="rId51" Type="http://schemas.openxmlformats.org/officeDocument/2006/relationships/hyperlink" Target="https://www.acquafort.com.br/tereducaosoldavel40x25mmamanco/p?idsku=4271&amp;gclid=CjwKCAjw6MKXBhA5EiwANWLODEly2qIKVt28GWh9uhz4gMpniaONulr0Fzf_hmcs5u3Pa6ziUOLOnhoCDacQAvD_BwE" TargetMode="External"/><Relationship Id="rId3" Type="http://schemas.openxmlformats.org/officeDocument/2006/relationships/hyperlink" Target="https://www.aluminioalure.com.br/carrinho/index" TargetMode="External"/><Relationship Id="rId12" Type="http://schemas.openxmlformats.org/officeDocument/2006/relationships/hyperlink" Target="https://www.leroymerlin.com.br/disjuntor-tripolar-din-curva-c-10ka-90a_1569938085" TargetMode="External"/><Relationship Id="rId17" Type="http://schemas.openxmlformats.org/officeDocument/2006/relationships/hyperlink" Target="https://www.palmetal.com.br/expurgo-palmetal-modelo-em" TargetMode="External"/><Relationship Id="rId25" Type="http://schemas.openxmlformats.org/officeDocument/2006/relationships/hyperlink" Target="https://www.condec.com.br/barra-de-apoio-40cm-conforto-branca-aco-polido-deca?parceiro=3621&amp;gclid=CjwKCAjw6MKXBhA5EiwANWLODKWLrQIzpqsPxTjoBEt5zM7K0aA01rqwmVlem5Z7KUhLIFNRQTlIsBoC_30QAvD_BwE" TargetMode="External"/><Relationship Id="rId33" Type="http://schemas.openxmlformats.org/officeDocument/2006/relationships/hyperlink" Target="https://www.lojailuminainstalacao.com.br/checkout/cart?session_id=gogavjln5ehglbpgepuosb9705&amp;store_id=791419" TargetMode="External"/><Relationship Id="rId38" Type="http://schemas.openxmlformats.org/officeDocument/2006/relationships/hyperlink" Target="http://www.infraeletrocalhas.com.br/eletrocalhas.asp" TargetMode="External"/><Relationship Id="rId46" Type="http://schemas.openxmlformats.org/officeDocument/2006/relationships/hyperlink" Target="https://rceletrica.com.br/" TargetMode="External"/><Relationship Id="rId59" Type="http://schemas.openxmlformats.org/officeDocument/2006/relationships/hyperlink" Target="https://www.americanas.com.br/produto/2653517357?pfm_carac=barra-de-apoio&amp;pfm_index=14&amp;pfm_page=search&amp;pfm_pos=grid&amp;pfm_type=search_page&amp;offerId=5fd90e550c07044266f9d422"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37"/>
  <sheetViews>
    <sheetView view="pageBreakPreview" zoomScaleNormal="100" zoomScaleSheetLayoutView="100" workbookViewId="0">
      <selection activeCell="C12" sqref="C12:C15"/>
    </sheetView>
  </sheetViews>
  <sheetFormatPr defaultColWidth="9.140625" defaultRowHeight="12.75" x14ac:dyDescent="0.2"/>
  <cols>
    <col min="1" max="1" width="9.140625" style="8"/>
    <col min="2" max="2" width="14.28515625" style="8" customWidth="1"/>
    <col min="3" max="3" width="44.140625" style="8" customWidth="1"/>
    <col min="4" max="4" width="19.7109375" style="8" customWidth="1"/>
    <col min="5" max="5" width="20" style="8" customWidth="1"/>
    <col min="6" max="16384" width="9.140625" style="8"/>
  </cols>
  <sheetData>
    <row r="2" spans="2:5" ht="11.25" customHeight="1" x14ac:dyDescent="0.2"/>
    <row r="3" spans="2:5" ht="7.5" customHeight="1" x14ac:dyDescent="0.2"/>
    <row r="4" spans="2:5" ht="90" customHeight="1" x14ac:dyDescent="0.2">
      <c r="B4" s="133"/>
      <c r="C4" s="397" t="str">
        <f>COTAÇÕES!B2</f>
        <v>PREFEITURA MUNICIPAL DE ARIPUANÃ - MT
DEPARTAMENTO DE ENGENHARIA CIVIL
Praça São Francisco de Assis, 128, Caixa Postal 91 – CEP 78.325-000, 
Aripuanã – MT, Fone : (66) 3565 – 3900
www.aripuana.mt.gov.br</v>
      </c>
      <c r="D4" s="397"/>
      <c r="E4" s="398"/>
    </row>
    <row r="5" spans="2:5" x14ac:dyDescent="0.2">
      <c r="B5" s="53" t="s">
        <v>520</v>
      </c>
      <c r="C5" s="400" t="s">
        <v>184</v>
      </c>
      <c r="D5" s="401"/>
      <c r="E5" s="402"/>
    </row>
    <row r="6" spans="2:5" x14ac:dyDescent="0.2">
      <c r="B6" s="53" t="s">
        <v>239</v>
      </c>
      <c r="C6" s="400" t="s">
        <v>1777</v>
      </c>
      <c r="D6" s="401"/>
      <c r="E6" s="402"/>
    </row>
    <row r="7" spans="2:5" x14ac:dyDescent="0.2">
      <c r="B7" s="53" t="s">
        <v>240</v>
      </c>
      <c r="C7" s="400" t="s">
        <v>236</v>
      </c>
      <c r="D7" s="401"/>
      <c r="E7" s="402"/>
    </row>
    <row r="8" spans="2:5" x14ac:dyDescent="0.2">
      <c r="B8" s="55" t="s">
        <v>521</v>
      </c>
      <c r="C8" s="403">
        <f>D32</f>
        <v>3496715.07</v>
      </c>
      <c r="D8" s="404"/>
      <c r="E8" s="405"/>
    </row>
    <row r="9" spans="2:5" ht="19.899999999999999" customHeight="1" thickBot="1" x14ac:dyDescent="0.25">
      <c r="B9" s="607" t="s">
        <v>781</v>
      </c>
      <c r="C9" s="607"/>
      <c r="D9" s="607"/>
      <c r="E9" s="607"/>
    </row>
    <row r="10" spans="2:5" ht="13.5" thickTop="1" x14ac:dyDescent="0.2">
      <c r="B10" s="313" t="s">
        <v>3</v>
      </c>
      <c r="C10" s="313" t="s">
        <v>41</v>
      </c>
      <c r="D10" s="313" t="s">
        <v>5</v>
      </c>
      <c r="E10" s="313" t="s">
        <v>536</v>
      </c>
    </row>
    <row r="11" spans="2:5" x14ac:dyDescent="0.2">
      <c r="B11" s="85" t="str">
        <f>'PLANILHA ORÇAMENTÁRIA'!B11</f>
        <v>1.0</v>
      </c>
      <c r="C11" s="86" t="str">
        <f>'PLANILHA ORÇAMENTÁRIA'!D11</f>
        <v>SERVIÇOS PRELIMINARES</v>
      </c>
      <c r="D11" s="320">
        <f>'PLANILHA ORÇAMENTÁRIA'!I20</f>
        <v>154741.57</v>
      </c>
      <c r="E11" s="319">
        <f>D11/$D$32</f>
        <v>4.4299999999999999E-2</v>
      </c>
    </row>
    <row r="12" spans="2:5" x14ac:dyDescent="0.2">
      <c r="B12" s="85" t="str">
        <f>'PLANILHA ORÇAMENTÁRIA'!B21</f>
        <v>2.0</v>
      </c>
      <c r="C12" s="86" t="str">
        <f>'PLANILHA ORÇAMENTÁRIA'!D21</f>
        <v>ADMINISTRAÇÃO LOCAL DE OBRA</v>
      </c>
      <c r="D12" s="320">
        <f>'PLANILHA ORÇAMENTÁRIA'!I26</f>
        <v>282660</v>
      </c>
      <c r="E12" s="319">
        <f t="shared" ref="E12:E23" si="0">D12/$D$32</f>
        <v>8.0799999999999997E-2</v>
      </c>
    </row>
    <row r="13" spans="2:5" x14ac:dyDescent="0.2">
      <c r="B13" s="85" t="str">
        <f>'PLANILHA ORÇAMENTÁRIA'!B27</f>
        <v>3.0</v>
      </c>
      <c r="C13" s="86" t="str">
        <f>'PLANILHA ORÇAMENTÁRIA'!D27</f>
        <v>REMOÇÃO/ DEMOLIÇÃO</v>
      </c>
      <c r="D13" s="320">
        <f>'PLANILHA ORÇAMENTÁRIA'!I44</f>
        <v>37680.800000000003</v>
      </c>
      <c r="E13" s="319">
        <f t="shared" si="0"/>
        <v>1.0800000000000001E-2</v>
      </c>
    </row>
    <row r="14" spans="2:5" x14ac:dyDescent="0.2">
      <c r="B14" s="85" t="str">
        <f>'PLANILHA ORÇAMENTÁRIA'!B45</f>
        <v>4.0</v>
      </c>
      <c r="C14" s="86" t="str">
        <f>'PLANILHA ORÇAMENTÁRIA'!D45</f>
        <v>FUNDAÇÃO</v>
      </c>
      <c r="D14" s="320">
        <f>'PLANILHA ORÇAMENTÁRIA'!I67</f>
        <v>445632.54</v>
      </c>
      <c r="E14" s="319">
        <f t="shared" si="0"/>
        <v>0.12740000000000001</v>
      </c>
    </row>
    <row r="15" spans="2:5" x14ac:dyDescent="0.2">
      <c r="B15" s="85" t="str">
        <f>'PLANILHA ORÇAMENTÁRIA'!B68</f>
        <v>5.0</v>
      </c>
      <c r="C15" s="86" t="str">
        <f>'PLANILHA ORÇAMENTÁRIA'!D68</f>
        <v>ESTRUTURA</v>
      </c>
      <c r="D15" s="320">
        <f>'PLANILHA ORÇAMENTÁRIA'!I86</f>
        <v>223602.82</v>
      </c>
      <c r="E15" s="319">
        <f t="shared" si="0"/>
        <v>6.3899999999999998E-2</v>
      </c>
    </row>
    <row r="16" spans="2:5" x14ac:dyDescent="0.2">
      <c r="B16" s="85" t="str">
        <f>'PLANILHA ORÇAMENTÁRIA'!B87</f>
        <v>6.0</v>
      </c>
      <c r="C16" s="86" t="str">
        <f>'PLANILHA ORÇAMENTÁRIA'!D87</f>
        <v>ALVENARIA E REVESTIMENTO</v>
      </c>
      <c r="D16" s="320">
        <f>'PLANILHA ORÇAMENTÁRIA'!I96</f>
        <v>247606.99</v>
      </c>
      <c r="E16" s="319">
        <f t="shared" si="0"/>
        <v>7.0800000000000002E-2</v>
      </c>
    </row>
    <row r="17" spans="2:5" x14ac:dyDescent="0.2">
      <c r="B17" s="85" t="str">
        <f>'PLANILHA ORÇAMENTÁRIA'!B97</f>
        <v>7.0</v>
      </c>
      <c r="C17" s="86" t="str">
        <f>'PLANILHA ORÇAMENTÁRIA'!D97</f>
        <v>COBERTURA</v>
      </c>
      <c r="D17" s="320">
        <f>'PLANILHA ORÇAMENTÁRIA'!I104</f>
        <v>534937.69999999995</v>
      </c>
      <c r="E17" s="319">
        <f t="shared" si="0"/>
        <v>0.153</v>
      </c>
    </row>
    <row r="18" spans="2:5" x14ac:dyDescent="0.2">
      <c r="B18" s="85" t="str">
        <f>'PLANILHA ORÇAMENTÁRIA'!B105</f>
        <v>8.0</v>
      </c>
      <c r="C18" s="86" t="str">
        <f>'PLANILHA ORÇAMENTÁRIA'!D105</f>
        <v>PISO</v>
      </c>
      <c r="D18" s="320">
        <f>'PLANILHA ORÇAMENTÁRIA'!I111</f>
        <v>174680.59</v>
      </c>
      <c r="E18" s="319">
        <f t="shared" si="0"/>
        <v>0.05</v>
      </c>
    </row>
    <row r="19" spans="2:5" x14ac:dyDescent="0.2">
      <c r="B19" s="85" t="str">
        <f>'PLANILHA ORÇAMENTÁRIA'!B112</f>
        <v>9.0</v>
      </c>
      <c r="C19" s="86" t="str">
        <f>'PLANILHA ORÇAMENTÁRIA'!D112</f>
        <v>PINTURAS</v>
      </c>
      <c r="D19" s="320">
        <f>'PLANILHA ORÇAMENTÁRIA'!I118</f>
        <v>57144.22</v>
      </c>
      <c r="E19" s="319">
        <f t="shared" si="0"/>
        <v>1.6299999999999999E-2</v>
      </c>
    </row>
    <row r="20" spans="2:5" x14ac:dyDescent="0.2">
      <c r="B20" s="85" t="str">
        <f>'PLANILHA ORÇAMENTÁRIA'!B119</f>
        <v>10.0</v>
      </c>
      <c r="C20" s="86" t="str">
        <f>'PLANILHA ORÇAMENTÁRIA'!D119</f>
        <v>ESQUADRIAS</v>
      </c>
      <c r="D20" s="320">
        <f>'PLANILHA ORÇAMENTÁRIA'!I145</f>
        <v>168132.91</v>
      </c>
      <c r="E20" s="319">
        <f t="shared" si="0"/>
        <v>4.8099999999999997E-2</v>
      </c>
    </row>
    <row r="21" spans="2:5" x14ac:dyDescent="0.2">
      <c r="B21" s="85" t="str">
        <f>'PLANILHA ORÇAMENTÁRIA'!B146</f>
        <v>11.0</v>
      </c>
      <c r="C21" s="86" t="str">
        <f>'PLANILHA ORÇAMENTÁRIA'!D146</f>
        <v>LOUÇAS, METAIS E BANCADAS</v>
      </c>
      <c r="D21" s="320">
        <f>'PLANILHA ORÇAMENTÁRIA'!I169</f>
        <v>92979.51</v>
      </c>
      <c r="E21" s="319">
        <f t="shared" si="0"/>
        <v>2.6599999999999999E-2</v>
      </c>
    </row>
    <row r="22" spans="2:5" x14ac:dyDescent="0.2">
      <c r="B22" s="85" t="str">
        <f>'PLANILHA ORÇAMENTÁRIA'!B170</f>
        <v>12.0</v>
      </c>
      <c r="C22" s="86" t="str">
        <f>'PLANILHA ORÇAMENTÁRIA'!D170</f>
        <v xml:space="preserve">INSTALAÇÕES HIDROSSANITÁRIAS </v>
      </c>
      <c r="D22" s="320">
        <f>'PLANILHA ORÇAMENTÁRIA'!I225</f>
        <v>79270.45</v>
      </c>
      <c r="E22" s="319">
        <f t="shared" si="0"/>
        <v>2.2700000000000001E-2</v>
      </c>
    </row>
    <row r="23" spans="2:5" x14ac:dyDescent="0.2">
      <c r="B23" s="85" t="str">
        <f>'PLANILHA ORÇAMENTÁRIA'!B226</f>
        <v>13.0</v>
      </c>
      <c r="C23" s="86" t="str">
        <f>'PLANILHA ORÇAMENTÁRIA'!D226</f>
        <v>INSTALAÇÕES ELÉTRICAS</v>
      </c>
      <c r="D23" s="320">
        <f>'PLANILHA ORÇAMENTÁRIA'!I345</f>
        <v>400674.12</v>
      </c>
      <c r="E23" s="319">
        <f t="shared" si="0"/>
        <v>0.11459999999999999</v>
      </c>
    </row>
    <row r="24" spans="2:5" x14ac:dyDescent="0.2">
      <c r="B24" s="85" t="str">
        <f>'PLANILHA ORÇAMENTÁRIA'!B346</f>
        <v>14.0</v>
      </c>
      <c r="C24" s="86" t="str">
        <f>'PLANILHA ORÇAMENTÁRIA'!D346</f>
        <v>REDE DE GASES</v>
      </c>
      <c r="D24" s="320">
        <f>'PLANILHA ORÇAMENTÁRIA'!I376</f>
        <v>32830.57</v>
      </c>
      <c r="E24" s="319">
        <f t="shared" ref="E24:E29" si="1">D24/$D$32</f>
        <v>9.4000000000000004E-3</v>
      </c>
    </row>
    <row r="25" spans="2:5" x14ac:dyDescent="0.2">
      <c r="B25" s="85" t="str">
        <f>'PLANILHA ORÇAMENTÁRIA'!B377</f>
        <v>15.0</v>
      </c>
      <c r="C25" s="86" t="str">
        <f>'PLANILHA ORÇAMENTÁRIA'!D377</f>
        <v>REDE LÓGICA E TELEFONIA</v>
      </c>
      <c r="D25" s="320">
        <f>'PLANILHA ORÇAMENTÁRIA'!I400</f>
        <v>20828.759999999998</v>
      </c>
      <c r="E25" s="319">
        <f t="shared" si="1"/>
        <v>6.0000000000000001E-3</v>
      </c>
    </row>
    <row r="26" spans="2:5" x14ac:dyDescent="0.2">
      <c r="B26" s="85" t="str">
        <f>'PLANILHA ORÇAMENTÁRIA'!B401</f>
        <v>16.0</v>
      </c>
      <c r="C26" s="86" t="str">
        <f>'PLANILHA ORÇAMENTÁRIA'!D401</f>
        <v>CLIMATIZAÇÃO</v>
      </c>
      <c r="D26" s="320">
        <f>'PLANILHA ORÇAMENTÁRIA'!I407</f>
        <v>112085.42</v>
      </c>
      <c r="E26" s="319">
        <f>D26/$D$32</f>
        <v>3.2099999999999997E-2</v>
      </c>
    </row>
    <row r="27" spans="2:5" x14ac:dyDescent="0.2">
      <c r="B27" s="85" t="str">
        <f>'PLANILHA ORÇAMENTÁRIA'!B408</f>
        <v>17.0</v>
      </c>
      <c r="C27" s="86" t="str">
        <f>'PLANILHA ORÇAMENTÁRIA'!D408</f>
        <v>COMBATE E PREVENÇÃO A INCÊNCIO</v>
      </c>
      <c r="D27" s="320">
        <f>'PLANILHA ORÇAMENTÁRIA'!I413</f>
        <v>6508.04</v>
      </c>
      <c r="E27" s="319">
        <f t="shared" si="1"/>
        <v>1.9E-3</v>
      </c>
    </row>
    <row r="28" spans="2:5" x14ac:dyDescent="0.2">
      <c r="B28" s="85" t="str">
        <f>'PLANILHA ORÇAMENTÁRIA'!B414</f>
        <v>18.0</v>
      </c>
      <c r="C28" s="86" t="str">
        <f>'PLANILHA ORÇAMENTÁRIA'!D414</f>
        <v>CALÇADA</v>
      </c>
      <c r="D28" s="320">
        <f>'PLANILHA ORÇAMENTÁRIA'!I421</f>
        <v>46653.79</v>
      </c>
      <c r="E28" s="319">
        <f t="shared" si="1"/>
        <v>1.3299999999999999E-2</v>
      </c>
    </row>
    <row r="29" spans="2:5" x14ac:dyDescent="0.2">
      <c r="B29" s="85" t="str">
        <f>'PLANILHA ORÇAMENTÁRIA'!B422</f>
        <v>19.0</v>
      </c>
      <c r="C29" s="86" t="str">
        <f>'PLANILHA ORÇAMENTÁRIA'!D422</f>
        <v>MURO</v>
      </c>
      <c r="D29" s="320">
        <f>'PLANILHA ORÇAMENTÁRIA'!I446</f>
        <v>65729.47</v>
      </c>
      <c r="E29" s="319">
        <f t="shared" si="1"/>
        <v>1.8800000000000001E-2</v>
      </c>
    </row>
    <row r="30" spans="2:5" x14ac:dyDescent="0.2">
      <c r="B30" s="85" t="str">
        <f>'PLANILHA ORÇAMENTÁRIA'!B447</f>
        <v>20.0</v>
      </c>
      <c r="C30" s="86" t="str">
        <f>'PLANILHA ORÇAMENTÁRIA'!D447</f>
        <v>SERVIÇOS COMPLEMENTARES</v>
      </c>
      <c r="D30" s="321">
        <f>'PLANILHA ORÇAMENTÁRIA'!I451</f>
        <v>19354.330000000002</v>
      </c>
      <c r="E30" s="319">
        <f>D30/$D$32</f>
        <v>5.4999999999999997E-3</v>
      </c>
    </row>
    <row r="31" spans="2:5" x14ac:dyDescent="0.2">
      <c r="B31" s="85" t="str">
        <f>'PLANILHA ORÇAMENTÁRIA'!B452</f>
        <v>21.0</v>
      </c>
      <c r="C31" s="86" t="str">
        <f>'PLANILHA ORÇAMENTÁRIA'!D452</f>
        <v>TRANSPORTE</v>
      </c>
      <c r="D31" s="320">
        <f>'PLANILHA ORÇAMENTÁRIA'!I458</f>
        <v>292980.46999999997</v>
      </c>
      <c r="E31" s="319">
        <f>D31/$D$32</f>
        <v>8.3799999999999999E-2</v>
      </c>
    </row>
    <row r="32" spans="2:5" x14ac:dyDescent="0.2">
      <c r="B32" s="399" t="s">
        <v>780</v>
      </c>
      <c r="C32" s="399"/>
      <c r="D32" s="322">
        <f>SUM(D11:D31)</f>
        <v>3496715.07</v>
      </c>
      <c r="E32" s="323">
        <f>SUM(E11:E31)</f>
        <v>1.0001</v>
      </c>
    </row>
    <row r="34" spans="2:5" x14ac:dyDescent="0.2">
      <c r="E34" s="250" t="str">
        <f>'PLANILHA ORÇAMENTÁRIA'!I461</f>
        <v>ARIPUANÃ - MT, 04 de Abril de 2023.</v>
      </c>
    </row>
    <row r="35" spans="2:5" x14ac:dyDescent="0.2">
      <c r="C35" s="6"/>
    </row>
    <row r="36" spans="2:5" ht="90" customHeight="1" x14ac:dyDescent="0.2">
      <c r="B36" s="396" t="str">
        <f>'PLANILHA ORÇAMENTÁRIA'!B463</f>
        <v xml:space="preserve">
FLÁVIA MARIA COSTA
ENG. CIVIL - CREA/MT 031403</v>
      </c>
      <c r="C36" s="396"/>
      <c r="D36" s="396"/>
      <c r="E36" s="396"/>
    </row>
    <row r="37" spans="2:5" x14ac:dyDescent="0.2">
      <c r="B37" s="290"/>
      <c r="C37" s="7"/>
    </row>
  </sheetData>
  <mergeCells count="8">
    <mergeCell ref="B36:E36"/>
    <mergeCell ref="C4:E4"/>
    <mergeCell ref="B32:C32"/>
    <mergeCell ref="C6:E6"/>
    <mergeCell ref="C7:E7"/>
    <mergeCell ref="C5:E5"/>
    <mergeCell ref="C8:E8"/>
    <mergeCell ref="B9:E9"/>
  </mergeCells>
  <pageMargins left="0.511811024" right="0.511811024" top="0.78740157499999996" bottom="0.78740157499999996" header="0.31496062000000002" footer="0.31496062000000002"/>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3:N60"/>
  <sheetViews>
    <sheetView tabSelected="1" view="pageBreakPreview" topLeftCell="A31" zoomScale="85" zoomScaleNormal="100" zoomScaleSheetLayoutView="85" workbookViewId="0">
      <selection activeCell="C6" sqref="C6:E6"/>
    </sheetView>
  </sheetViews>
  <sheetFormatPr defaultColWidth="9.140625" defaultRowHeight="12.75" x14ac:dyDescent="0.2"/>
  <cols>
    <col min="1" max="1" width="9.140625" style="1"/>
    <col min="2" max="2" width="14.28515625" style="1" customWidth="1"/>
    <col min="3" max="3" width="59.42578125" style="1" customWidth="1"/>
    <col min="4" max="4" width="9.140625" style="1"/>
    <col min="5" max="5" width="7.140625" style="1" customWidth="1"/>
    <col min="6" max="6" width="13.7109375" style="1" customWidth="1"/>
    <col min="7" max="7" width="14.140625" style="1" bestFit="1" customWidth="1"/>
    <col min="8" max="12" width="15.5703125" style="1" bestFit="1" customWidth="1"/>
    <col min="13" max="13" width="15.7109375" style="1" customWidth="1"/>
    <col min="14" max="14" width="15.28515625" style="1" customWidth="1"/>
    <col min="15" max="16384" width="9.140625" style="1"/>
  </cols>
  <sheetData>
    <row r="3" spans="2:14" ht="13.5" hidden="1" thickBot="1" x14ac:dyDescent="0.25"/>
    <row r="4" spans="2:14" ht="90" customHeight="1" thickBot="1" x14ac:dyDescent="0.25">
      <c r="B4" s="391"/>
      <c r="C4" s="575" t="str">
        <f>COTAÇÕES!B2</f>
        <v>PREFEITURA MUNICIPAL DE ARIPUANÃ - MT
DEPARTAMENTO DE ENGENHARIA CIVIL
Praça São Francisco de Assis, 128, Caixa Postal 91 – CEP 78.325-000, 
Aripuanã – MT, Fone : (66) 3565 – 3900
www.aripuana.mt.gov.br</v>
      </c>
      <c r="D4" s="575"/>
      <c r="E4" s="575"/>
      <c r="F4" s="575"/>
      <c r="G4" s="575"/>
      <c r="H4" s="575"/>
      <c r="I4" s="575"/>
      <c r="J4" s="575"/>
      <c r="K4" s="575"/>
      <c r="L4" s="575"/>
      <c r="M4" s="576"/>
    </row>
    <row r="5" spans="2:14" ht="19.899999999999999" customHeight="1" thickBot="1" x14ac:dyDescent="0.25">
      <c r="B5" s="590" t="s">
        <v>189</v>
      </c>
      <c r="C5" s="591"/>
      <c r="D5" s="591"/>
      <c r="E5" s="591"/>
      <c r="F5" s="591"/>
      <c r="G5" s="591"/>
      <c r="H5" s="591"/>
      <c r="I5" s="591"/>
      <c r="J5" s="591"/>
      <c r="K5" s="591"/>
      <c r="L5" s="591"/>
      <c r="M5" s="592"/>
    </row>
    <row r="6" spans="2:14" x14ac:dyDescent="0.2">
      <c r="B6" s="12" t="str">
        <f>RESUMO!B5</f>
        <v xml:space="preserve">PROP.: </v>
      </c>
      <c r="C6" s="586" t="str">
        <f>RESUMO!C5</f>
        <v>PREFEITURA MUNICIPAL DE ARIPUANÃ/MT</v>
      </c>
      <c r="D6" s="586"/>
      <c r="E6" s="586"/>
      <c r="F6" s="317" t="s">
        <v>1673</v>
      </c>
      <c r="G6" s="9">
        <f>G7/$D54</f>
        <v>0.14660000000000001</v>
      </c>
      <c r="H6" s="9">
        <f t="shared" ref="H6:M6" si="0">H7/$D54</f>
        <v>0.16600000000000001</v>
      </c>
      <c r="I6" s="9">
        <f t="shared" si="0"/>
        <v>0.1016</v>
      </c>
      <c r="J6" s="9">
        <f t="shared" si="0"/>
        <v>0.1</v>
      </c>
      <c r="K6" s="9">
        <f t="shared" si="0"/>
        <v>0.1731</v>
      </c>
      <c r="L6" s="9">
        <f t="shared" si="0"/>
        <v>0.18859999999999999</v>
      </c>
      <c r="M6" s="9">
        <f t="shared" si="0"/>
        <v>0.1241</v>
      </c>
      <c r="N6" s="318">
        <f>SUM(G6:M6)</f>
        <v>1</v>
      </c>
    </row>
    <row r="7" spans="2:14" ht="13.5" thickBot="1" x14ac:dyDescent="0.25">
      <c r="B7" s="13" t="str">
        <f>RESUMO!B6</f>
        <v>OBRA:</v>
      </c>
      <c r="C7" s="587" t="str">
        <f>RESUMO!C6</f>
        <v>RECONSTRUÇÃO DA UNIDADE BÁSICA DE SAÚDE DO DISTRITO DE CONSELVAN</v>
      </c>
      <c r="D7" s="587"/>
      <c r="E7" s="587"/>
      <c r="F7" s="14" t="s">
        <v>1674</v>
      </c>
      <c r="G7" s="361">
        <f>G13+G15+G17+G19+G21+G23+G25+G27+G29+G31+G33+G35+G37+G39+G41+G43+G45+G47+G49++G51+G53</f>
        <v>512495.16</v>
      </c>
      <c r="H7" s="361">
        <f t="shared" ref="H7:M7" si="1">H13+H15+H17+H19+H21+H23+H25+H27+H29+H31+H33+H35+H37+H39+H41+H43+H45+H47+H49++H51+H53</f>
        <v>580518.38</v>
      </c>
      <c r="I7" s="361">
        <f t="shared" si="1"/>
        <v>355296.7</v>
      </c>
      <c r="J7" s="361">
        <f t="shared" si="1"/>
        <v>349546.36</v>
      </c>
      <c r="K7" s="361">
        <f t="shared" si="1"/>
        <v>605293.9</v>
      </c>
      <c r="L7" s="361">
        <f t="shared" si="1"/>
        <v>659599.06000000006</v>
      </c>
      <c r="M7" s="361">
        <f t="shared" si="1"/>
        <v>433965.51</v>
      </c>
    </row>
    <row r="8" spans="2:14" ht="13.5" thickTop="1" x14ac:dyDescent="0.2">
      <c r="B8" s="13" t="str">
        <f>RESUMO!B7</f>
        <v>LOCAL:</v>
      </c>
      <c r="C8" s="587" t="str">
        <f>RESUMO!C7</f>
        <v>RUA GUARANTÃ, S/N, DISTRITO DE CONSELVAN, ARIPUANÃ - MT</v>
      </c>
      <c r="D8" s="587"/>
      <c r="E8" s="587"/>
      <c r="F8" s="317" t="s">
        <v>1673</v>
      </c>
      <c r="G8" s="9">
        <f>G9/$D54</f>
        <v>0.14660000000000001</v>
      </c>
      <c r="H8" s="316">
        <f>H9/$D54</f>
        <v>0.31259999999999999</v>
      </c>
      <c r="I8" s="316">
        <f t="shared" ref="I8:M8" si="2">I9/$D54</f>
        <v>0.41420000000000001</v>
      </c>
      <c r="J8" s="316">
        <f t="shared" si="2"/>
        <v>0.51419999999999999</v>
      </c>
      <c r="K8" s="316">
        <f t="shared" si="2"/>
        <v>0.68730000000000002</v>
      </c>
      <c r="L8" s="316">
        <f t="shared" si="2"/>
        <v>0.87590000000000001</v>
      </c>
      <c r="M8" s="316">
        <f t="shared" si="2"/>
        <v>1</v>
      </c>
    </row>
    <row r="9" spans="2:14" ht="13.5" thickBot="1" x14ac:dyDescent="0.25">
      <c r="B9" s="13" t="str">
        <f>RESUMO!B8</f>
        <v>RECURSO:</v>
      </c>
      <c r="C9" s="595">
        <f>RESUMO!C8</f>
        <v>3496715.07</v>
      </c>
      <c r="D9" s="595"/>
      <c r="E9" s="595"/>
      <c r="F9" s="14" t="s">
        <v>1675</v>
      </c>
      <c r="G9" s="361">
        <f>G7</f>
        <v>512495.16</v>
      </c>
      <c r="H9" s="362">
        <f t="shared" ref="H9:M9" si="3">H7+G9</f>
        <v>1093013.54</v>
      </c>
      <c r="I9" s="362">
        <f t="shared" si="3"/>
        <v>1448310.24</v>
      </c>
      <c r="J9" s="361">
        <f t="shared" si="3"/>
        <v>1797856.6</v>
      </c>
      <c r="K9" s="362">
        <f t="shared" si="3"/>
        <v>2403150.5</v>
      </c>
      <c r="L9" s="363">
        <f t="shared" si="3"/>
        <v>3062749.56</v>
      </c>
      <c r="M9" s="364">
        <f t="shared" si="3"/>
        <v>3496715.07</v>
      </c>
    </row>
    <row r="10" spans="2:14" ht="21" customHeight="1" thickTop="1" x14ac:dyDescent="0.2">
      <c r="B10" s="596" t="s">
        <v>3</v>
      </c>
      <c r="C10" s="596" t="s">
        <v>234</v>
      </c>
      <c r="D10" s="597" t="s">
        <v>190</v>
      </c>
      <c r="E10" s="597"/>
      <c r="F10" s="598" t="s">
        <v>42</v>
      </c>
      <c r="G10" s="600" t="s">
        <v>258</v>
      </c>
      <c r="H10" s="602" t="s">
        <v>259</v>
      </c>
      <c r="I10" s="602" t="s">
        <v>260</v>
      </c>
      <c r="J10" s="604" t="s">
        <v>261</v>
      </c>
      <c r="K10" s="605" t="s">
        <v>262</v>
      </c>
      <c r="L10" s="593" t="s">
        <v>263</v>
      </c>
      <c r="M10" s="588" t="s">
        <v>782</v>
      </c>
    </row>
    <row r="11" spans="2:14" ht="13.5" thickBot="1" x14ac:dyDescent="0.25">
      <c r="B11" s="596"/>
      <c r="C11" s="596"/>
      <c r="D11" s="597"/>
      <c r="E11" s="597"/>
      <c r="F11" s="599"/>
      <c r="G11" s="601"/>
      <c r="H11" s="603"/>
      <c r="I11" s="603"/>
      <c r="J11" s="603"/>
      <c r="K11" s="606"/>
      <c r="L11" s="594"/>
      <c r="M11" s="589"/>
    </row>
    <row r="12" spans="2:14" ht="13.5" thickTop="1" x14ac:dyDescent="0.2">
      <c r="B12" s="566" t="str">
        <f>RESUMO!B11</f>
        <v>1.0</v>
      </c>
      <c r="C12" s="567" t="str">
        <f>RESUMO!C11</f>
        <v>SERVIÇOS PRELIMINARES</v>
      </c>
      <c r="D12" s="585">
        <f>RESUMO!D11</f>
        <v>154741.57</v>
      </c>
      <c r="E12" s="585"/>
      <c r="F12" s="565">
        <f t="shared" ref="F12:F52" si="4">D12/$D$54</f>
        <v>4.4249999999999998E-2</v>
      </c>
      <c r="G12" s="9">
        <f>G13/$D12</f>
        <v>1</v>
      </c>
      <c r="H12" s="329"/>
      <c r="I12" s="329"/>
      <c r="J12" s="328"/>
      <c r="K12" s="329"/>
      <c r="L12" s="331"/>
      <c r="M12" s="360"/>
    </row>
    <row r="13" spans="2:14" ht="13.5" thickBot="1" x14ac:dyDescent="0.25">
      <c r="B13" s="566"/>
      <c r="C13" s="567"/>
      <c r="D13" s="585"/>
      <c r="E13" s="585"/>
      <c r="F13" s="565"/>
      <c r="G13" s="361">
        <f>'PLANILHA ORÇAMENTÁRIA'!I20</f>
        <v>154741.57</v>
      </c>
      <c r="H13" s="365"/>
      <c r="I13" s="365"/>
      <c r="J13" s="366"/>
      <c r="K13" s="365"/>
      <c r="L13" s="367"/>
      <c r="M13" s="368"/>
    </row>
    <row r="14" spans="2:14" ht="13.5" thickTop="1" x14ac:dyDescent="0.2">
      <c r="B14" s="566" t="str">
        <f>RESUMO!B12</f>
        <v>2.0</v>
      </c>
      <c r="C14" s="567" t="str">
        <f>RESUMO!C12</f>
        <v>ADMINISTRAÇÃO LOCAL DE OBRA</v>
      </c>
      <c r="D14" s="585">
        <f>RESUMO!D12</f>
        <v>282660</v>
      </c>
      <c r="E14" s="585"/>
      <c r="F14" s="565">
        <f t="shared" si="4"/>
        <v>8.0839999999999995E-2</v>
      </c>
      <c r="G14" s="9">
        <f>G15/$D14</f>
        <v>0.1429</v>
      </c>
      <c r="H14" s="9">
        <f t="shared" ref="H14:M14" si="5">H15/$D14</f>
        <v>0.1429</v>
      </c>
      <c r="I14" s="9">
        <f t="shared" si="5"/>
        <v>0.1429</v>
      </c>
      <c r="J14" s="9">
        <f t="shared" si="5"/>
        <v>0.1429</v>
      </c>
      <c r="K14" s="9">
        <f t="shared" si="5"/>
        <v>0.1429</v>
      </c>
      <c r="L14" s="9">
        <f t="shared" si="5"/>
        <v>0.1429</v>
      </c>
      <c r="M14" s="9">
        <f t="shared" si="5"/>
        <v>0.1429</v>
      </c>
      <c r="N14" s="318">
        <f>SUM(G14:M14)</f>
        <v>1.0003</v>
      </c>
    </row>
    <row r="15" spans="2:14" ht="13.5" thickBot="1" x14ac:dyDescent="0.25">
      <c r="B15" s="566"/>
      <c r="C15" s="567"/>
      <c r="D15" s="585"/>
      <c r="E15" s="585"/>
      <c r="F15" s="565"/>
      <c r="G15" s="14">
        <f>'PLANILHA ORÇAMENTÁRIA'!$I26/7</f>
        <v>40380</v>
      </c>
      <c r="H15" s="14">
        <f>'PLANILHA ORÇAMENTÁRIA'!$I26/7</f>
        <v>40380</v>
      </c>
      <c r="I15" s="14">
        <f>'PLANILHA ORÇAMENTÁRIA'!$I26/7</f>
        <v>40380</v>
      </c>
      <c r="J15" s="14">
        <f>'PLANILHA ORÇAMENTÁRIA'!$I26/7</f>
        <v>40380</v>
      </c>
      <c r="K15" s="14">
        <f>'PLANILHA ORÇAMENTÁRIA'!$I26/7</f>
        <v>40380</v>
      </c>
      <c r="L15" s="14">
        <f>'PLANILHA ORÇAMENTÁRIA'!$I26/7</f>
        <v>40380</v>
      </c>
      <c r="M15" s="14">
        <f>'PLANILHA ORÇAMENTÁRIA'!$I26/7</f>
        <v>40380</v>
      </c>
      <c r="N15" s="324">
        <f t="shared" ref="N15:N19" si="6">SUM(G15:M15)</f>
        <v>282660</v>
      </c>
    </row>
    <row r="16" spans="2:14" ht="13.5" thickTop="1" x14ac:dyDescent="0.2">
      <c r="B16" s="566" t="str">
        <f>RESUMO!B13</f>
        <v>3.0</v>
      </c>
      <c r="C16" s="567" t="str">
        <f>RESUMO!C13</f>
        <v>REMOÇÃO/ DEMOLIÇÃO</v>
      </c>
      <c r="D16" s="585">
        <f>RESUMO!D13</f>
        <v>37680.800000000003</v>
      </c>
      <c r="E16" s="585"/>
      <c r="F16" s="565">
        <f t="shared" si="4"/>
        <v>1.078E-2</v>
      </c>
      <c r="G16" s="9">
        <f>G17/D16</f>
        <v>1</v>
      </c>
      <c r="H16" s="329"/>
      <c r="I16" s="329"/>
      <c r="J16" s="328"/>
      <c r="K16" s="329"/>
      <c r="L16" s="331"/>
      <c r="M16" s="360"/>
      <c r="N16" s="318">
        <f t="shared" si="6"/>
        <v>1</v>
      </c>
    </row>
    <row r="17" spans="2:14" ht="13.5" thickBot="1" x14ac:dyDescent="0.25">
      <c r="B17" s="566"/>
      <c r="C17" s="567"/>
      <c r="D17" s="585"/>
      <c r="E17" s="585"/>
      <c r="F17" s="565"/>
      <c r="G17" s="361">
        <f>'PLANILHA ORÇAMENTÁRIA'!I44</f>
        <v>37680.800000000003</v>
      </c>
      <c r="H17" s="365"/>
      <c r="I17" s="365"/>
      <c r="J17" s="366"/>
      <c r="K17" s="365"/>
      <c r="L17" s="367"/>
      <c r="M17" s="368"/>
      <c r="N17" s="324">
        <f t="shared" si="6"/>
        <v>37680.800000000003</v>
      </c>
    </row>
    <row r="18" spans="2:14" ht="13.5" thickTop="1" x14ac:dyDescent="0.2">
      <c r="B18" s="566" t="str">
        <f>RESUMO!B14</f>
        <v>4.0</v>
      </c>
      <c r="C18" s="567" t="str">
        <f>RESUMO!C14</f>
        <v>FUNDAÇÃO</v>
      </c>
      <c r="D18" s="568">
        <f>RESUMO!D14</f>
        <v>445632.54</v>
      </c>
      <c r="E18" s="569"/>
      <c r="F18" s="565">
        <f t="shared" si="4"/>
        <v>0.12744</v>
      </c>
      <c r="G18" s="328"/>
      <c r="H18" s="316">
        <f>H19/$D18</f>
        <v>1</v>
      </c>
      <c r="I18" s="329"/>
      <c r="J18" s="328"/>
      <c r="K18" s="329"/>
      <c r="L18" s="331"/>
      <c r="M18" s="360"/>
      <c r="N18" s="318">
        <f t="shared" si="6"/>
        <v>1</v>
      </c>
    </row>
    <row r="19" spans="2:14" ht="13.5" thickBot="1" x14ac:dyDescent="0.25">
      <c r="B19" s="566"/>
      <c r="C19" s="567"/>
      <c r="D19" s="570"/>
      <c r="E19" s="571"/>
      <c r="F19" s="565"/>
      <c r="G19" s="366"/>
      <c r="H19" s="362">
        <f>'PLANILHA ORÇAMENTÁRIA'!I67</f>
        <v>445632.54</v>
      </c>
      <c r="I19" s="365"/>
      <c r="J19" s="366"/>
      <c r="K19" s="365"/>
      <c r="L19" s="367"/>
      <c r="M19" s="368"/>
      <c r="N19" s="324">
        <f t="shared" si="6"/>
        <v>445632.54</v>
      </c>
    </row>
    <row r="20" spans="2:14" ht="13.5" thickTop="1" x14ac:dyDescent="0.2">
      <c r="B20" s="566" t="str">
        <f>RESUMO!B15</f>
        <v>5.0</v>
      </c>
      <c r="C20" s="567" t="str">
        <f>RESUMO!C15</f>
        <v>ESTRUTURA</v>
      </c>
      <c r="D20" s="568">
        <f>RESUMO!D15</f>
        <v>223602.82</v>
      </c>
      <c r="E20" s="569"/>
      <c r="F20" s="565">
        <f t="shared" si="4"/>
        <v>6.3950000000000007E-2</v>
      </c>
      <c r="G20" s="328"/>
      <c r="H20" s="329"/>
      <c r="I20" s="316">
        <f>I21/$D20</f>
        <v>0.18079999999999999</v>
      </c>
      <c r="J20" s="316">
        <f t="shared" ref="J20:K20" si="7">J21/$D20</f>
        <v>0.40329999999999999</v>
      </c>
      <c r="K20" s="316">
        <f t="shared" si="7"/>
        <v>0.41599999999999998</v>
      </c>
      <c r="L20" s="331"/>
      <c r="M20" s="360"/>
      <c r="N20" s="318">
        <f>SUM(G20:M20)</f>
        <v>1.0001</v>
      </c>
    </row>
    <row r="21" spans="2:14" ht="13.5" thickBot="1" x14ac:dyDescent="0.25">
      <c r="B21" s="566"/>
      <c r="C21" s="567"/>
      <c r="D21" s="570"/>
      <c r="E21" s="571"/>
      <c r="F21" s="565"/>
      <c r="G21" s="366"/>
      <c r="H21" s="365"/>
      <c r="I21" s="362">
        <f>SUM('PLANILHA ORÇAMENTÁRIA'!I81:I85)</f>
        <v>40416.93</v>
      </c>
      <c r="J21" s="361">
        <f>SUM('PLANILHA ORÇAMENTÁRIA'!I72:I79)</f>
        <v>90170.5</v>
      </c>
      <c r="K21" s="362">
        <f>'PLANILHA ORÇAMENTÁRIA'!I70</f>
        <v>93015.39</v>
      </c>
      <c r="L21" s="367"/>
      <c r="M21" s="368"/>
      <c r="N21" s="324">
        <f t="shared" ref="N21:N53" si="8">SUM(G21:M21)</f>
        <v>223602.82</v>
      </c>
    </row>
    <row r="22" spans="2:14" ht="13.5" thickTop="1" x14ac:dyDescent="0.2">
      <c r="B22" s="566" t="str">
        <f>RESUMO!B16</f>
        <v>6.0</v>
      </c>
      <c r="C22" s="567" t="str">
        <f>RESUMO!C16</f>
        <v>ALVENARIA E REVESTIMENTO</v>
      </c>
      <c r="D22" s="568">
        <f>RESUMO!D16</f>
        <v>247606.99</v>
      </c>
      <c r="E22" s="569"/>
      <c r="F22" s="565">
        <f t="shared" si="4"/>
        <v>7.0809999999999998E-2</v>
      </c>
      <c r="G22" s="328"/>
      <c r="H22" s="329"/>
      <c r="I22" s="316">
        <f>I23/$D22</f>
        <v>0.33</v>
      </c>
      <c r="J22" s="316">
        <f t="shared" ref="J22:L22" si="9">J23/$D22</f>
        <v>0.2505</v>
      </c>
      <c r="K22" s="316">
        <f t="shared" si="9"/>
        <v>0.2555</v>
      </c>
      <c r="L22" s="316">
        <f t="shared" si="9"/>
        <v>0.16389999999999999</v>
      </c>
      <c r="M22" s="360"/>
      <c r="N22" s="318">
        <f t="shared" si="8"/>
        <v>0.99990000000000001</v>
      </c>
    </row>
    <row r="23" spans="2:14" ht="13.5" thickBot="1" x14ac:dyDescent="0.25">
      <c r="B23" s="566"/>
      <c r="C23" s="567"/>
      <c r="D23" s="570"/>
      <c r="E23" s="571"/>
      <c r="F23" s="565"/>
      <c r="G23" s="366"/>
      <c r="H23" s="365"/>
      <c r="I23" s="362">
        <f>'PLANILHA ORÇAMENTÁRIA'!I88</f>
        <v>81719.67</v>
      </c>
      <c r="J23" s="361">
        <f>SUM('PLANILHA ORÇAMENTÁRIA'!I89:I92)</f>
        <v>62030.3</v>
      </c>
      <c r="K23" s="362">
        <f>SUM('PLANILHA ORÇAMENTÁRIA'!I93)</f>
        <v>63262.87</v>
      </c>
      <c r="L23" s="363">
        <f>SUM('PLANILHA ORÇAMENTÁRIA'!I94:I95)</f>
        <v>40594.15</v>
      </c>
      <c r="M23" s="368"/>
      <c r="N23" s="324">
        <f t="shared" si="8"/>
        <v>247606.99</v>
      </c>
    </row>
    <row r="24" spans="2:14" ht="13.5" thickTop="1" x14ac:dyDescent="0.2">
      <c r="B24" s="566" t="str">
        <f>RESUMO!B17</f>
        <v>7.0</v>
      </c>
      <c r="C24" s="567" t="str">
        <f>RESUMO!C17</f>
        <v>COBERTURA</v>
      </c>
      <c r="D24" s="568">
        <f>RESUMO!D17</f>
        <v>534937.69999999995</v>
      </c>
      <c r="E24" s="569"/>
      <c r="F24" s="565">
        <f t="shared" si="4"/>
        <v>0.15298</v>
      </c>
      <c r="G24" s="328"/>
      <c r="H24" s="329"/>
      <c r="I24" s="329"/>
      <c r="J24" s="328"/>
      <c r="K24" s="316">
        <f>K25/$D24</f>
        <v>0.25559999999999999</v>
      </c>
      <c r="L24" s="316">
        <f t="shared" ref="L24:M24" si="10">L25/$D24</f>
        <v>0.62350000000000005</v>
      </c>
      <c r="M24" s="316">
        <f t="shared" si="10"/>
        <v>0.12089999999999999</v>
      </c>
      <c r="N24" s="318">
        <f t="shared" si="8"/>
        <v>1</v>
      </c>
    </row>
    <row r="25" spans="2:14" ht="13.5" thickBot="1" x14ac:dyDescent="0.25">
      <c r="B25" s="566"/>
      <c r="C25" s="567"/>
      <c r="D25" s="570"/>
      <c r="E25" s="571"/>
      <c r="F25" s="565"/>
      <c r="G25" s="366"/>
      <c r="H25" s="365"/>
      <c r="I25" s="365"/>
      <c r="J25" s="366"/>
      <c r="K25" s="362">
        <f>'PLANILHA ORÇAMENTÁRIA'!I98/2</f>
        <v>136717.56</v>
      </c>
      <c r="L25" s="363">
        <f>'PLANILHA ORÇAMENTÁRIA'!I98/2+'PLANILHA ORÇAMENTÁRIA'!I99</f>
        <v>333546.99</v>
      </c>
      <c r="M25" s="364">
        <f>'PLANILHA ORÇAMENTÁRIA'!I100+'PLANILHA ORÇAMENTÁRIA'!I101+'PLANILHA ORÇAMENTÁRIA'!I102+'PLANILHA ORÇAMENTÁRIA'!I103</f>
        <v>64673.15</v>
      </c>
      <c r="N25" s="324">
        <f t="shared" si="8"/>
        <v>534937.69999999995</v>
      </c>
    </row>
    <row r="26" spans="2:14" ht="13.5" thickTop="1" x14ac:dyDescent="0.2">
      <c r="B26" s="566" t="str">
        <f>RESUMO!B18</f>
        <v>8.0</v>
      </c>
      <c r="C26" s="567" t="str">
        <f>RESUMO!C18</f>
        <v>PISO</v>
      </c>
      <c r="D26" s="568">
        <f>RESUMO!D18</f>
        <v>174680.59</v>
      </c>
      <c r="E26" s="569"/>
      <c r="F26" s="565">
        <f t="shared" si="4"/>
        <v>4.9959999999999997E-2</v>
      </c>
      <c r="G26" s="328"/>
      <c r="H26" s="329"/>
      <c r="I26" s="329"/>
      <c r="J26" s="9">
        <f>J27/$D26</f>
        <v>0.25950000000000001</v>
      </c>
      <c r="K26" s="9">
        <f t="shared" ref="K26:L26" si="11">K27/$D26</f>
        <v>0.5948</v>
      </c>
      <c r="L26" s="9">
        <f t="shared" si="11"/>
        <v>0.1457</v>
      </c>
      <c r="M26" s="360"/>
      <c r="N26" s="318">
        <f t="shared" si="8"/>
        <v>1</v>
      </c>
    </row>
    <row r="27" spans="2:14" ht="13.5" thickBot="1" x14ac:dyDescent="0.25">
      <c r="B27" s="566"/>
      <c r="C27" s="567"/>
      <c r="D27" s="570"/>
      <c r="E27" s="571"/>
      <c r="F27" s="565"/>
      <c r="G27" s="366"/>
      <c r="H27" s="365"/>
      <c r="I27" s="365"/>
      <c r="J27" s="361">
        <f>SUM('PLANILHA ORÇAMENTÁRIA'!I106:I107)</f>
        <v>45325.919999999998</v>
      </c>
      <c r="K27" s="362">
        <f>'PLANILHA ORÇAMENTÁRIA'!I110</f>
        <v>103905.92</v>
      </c>
      <c r="L27" s="363">
        <f>SUM('PLANILHA ORÇAMENTÁRIA'!I108:I109)</f>
        <v>25448.75</v>
      </c>
      <c r="M27" s="368"/>
      <c r="N27" s="324">
        <f t="shared" si="8"/>
        <v>174680.59</v>
      </c>
    </row>
    <row r="28" spans="2:14" ht="13.5" thickTop="1" x14ac:dyDescent="0.2">
      <c r="B28" s="566" t="str">
        <f>RESUMO!B19</f>
        <v>9.0</v>
      </c>
      <c r="C28" s="567" t="str">
        <f>RESUMO!C19</f>
        <v>PINTURAS</v>
      </c>
      <c r="D28" s="568">
        <f>RESUMO!D19</f>
        <v>57144.22</v>
      </c>
      <c r="E28" s="569"/>
      <c r="F28" s="565">
        <f t="shared" si="4"/>
        <v>1.634E-2</v>
      </c>
      <c r="G28" s="328"/>
      <c r="H28" s="329"/>
      <c r="I28" s="329"/>
      <c r="J28" s="328"/>
      <c r="K28" s="316">
        <f>K29/$D28</f>
        <v>8.9899999999999994E-2</v>
      </c>
      <c r="L28" s="316">
        <f t="shared" ref="L28:M28" si="12">L29/$D28</f>
        <v>0.34420000000000001</v>
      </c>
      <c r="M28" s="316">
        <f t="shared" si="12"/>
        <v>0.56589999999999996</v>
      </c>
      <c r="N28" s="318">
        <f t="shared" si="8"/>
        <v>1</v>
      </c>
    </row>
    <row r="29" spans="2:14" ht="13.5" thickBot="1" x14ac:dyDescent="0.25">
      <c r="B29" s="566"/>
      <c r="C29" s="567"/>
      <c r="D29" s="570"/>
      <c r="E29" s="571"/>
      <c r="F29" s="565"/>
      <c r="G29" s="366"/>
      <c r="H29" s="365"/>
      <c r="I29" s="365"/>
      <c r="J29" s="366"/>
      <c r="K29" s="362">
        <f>SUM('PLANILHA ORÇAMENTÁRIA'!I113:I114)</f>
        <v>5136.0600000000004</v>
      </c>
      <c r="L29" s="363">
        <f>'PLANILHA ORÇAMENTÁRIA'!I115</f>
        <v>19670.04</v>
      </c>
      <c r="M29" s="364">
        <f>SUM('PLANILHA ORÇAMENTÁRIA'!I116:I117)</f>
        <v>32338.12</v>
      </c>
      <c r="N29" s="324">
        <f t="shared" si="8"/>
        <v>57144.22</v>
      </c>
    </row>
    <row r="30" spans="2:14" ht="13.5" thickTop="1" x14ac:dyDescent="0.2">
      <c r="B30" s="566" t="str">
        <f>RESUMO!B20</f>
        <v>10.0</v>
      </c>
      <c r="C30" s="567" t="str">
        <f>RESUMO!C20</f>
        <v>ESQUADRIAS</v>
      </c>
      <c r="D30" s="568">
        <f>RESUMO!D20</f>
        <v>168132.91</v>
      </c>
      <c r="E30" s="569"/>
      <c r="F30" s="565">
        <f t="shared" si="4"/>
        <v>4.8079999999999998E-2</v>
      </c>
      <c r="G30" s="328"/>
      <c r="H30" s="329"/>
      <c r="I30" s="316">
        <f>I31/$D30</f>
        <v>0.49149999999999999</v>
      </c>
      <c r="J30" s="316">
        <f t="shared" ref="J30:M30" si="13">J31/$D30</f>
        <v>0.22689999999999999</v>
      </c>
      <c r="K30" s="329"/>
      <c r="L30" s="331"/>
      <c r="M30" s="316">
        <f t="shared" si="13"/>
        <v>0.28160000000000002</v>
      </c>
      <c r="N30" s="318">
        <f>SUM(G30:M30)</f>
        <v>1</v>
      </c>
    </row>
    <row r="31" spans="2:14" ht="13.5" thickBot="1" x14ac:dyDescent="0.25">
      <c r="B31" s="566"/>
      <c r="C31" s="567"/>
      <c r="D31" s="570"/>
      <c r="E31" s="571"/>
      <c r="F31" s="565"/>
      <c r="G31" s="366"/>
      <c r="H31" s="365"/>
      <c r="I31" s="362">
        <f>SUM('PLANILHA ORÇAMENTÁRIA'!I121,'PLANILHA ORÇAMENTÁRIA'!I123:I125)</f>
        <v>82629.95</v>
      </c>
      <c r="J31" s="361">
        <f>SUM('PLANILHA ORÇAMENTÁRIA'!I126:I127,'PLANILHA ORÇAMENTÁRIA'!I134:I139)</f>
        <v>38156.18</v>
      </c>
      <c r="K31" s="362"/>
      <c r="L31" s="367"/>
      <c r="M31" s="362">
        <f>SUM('PLANILHA ORÇAMENTÁRIA'!I120,'PLANILHA ORÇAMENTÁRIA'!I122,'PLANILHA ORÇAMENTÁRIA'!I140:I144,'PLANILHA ORÇAMENTÁRIA'!I128:I133)</f>
        <v>47346.78</v>
      </c>
      <c r="N31" s="324">
        <f>SUM(G31:M31)</f>
        <v>168132.91</v>
      </c>
    </row>
    <row r="32" spans="2:14" ht="13.5" thickTop="1" x14ac:dyDescent="0.2">
      <c r="B32" s="566" t="str">
        <f>RESUMO!B21</f>
        <v>11.0</v>
      </c>
      <c r="C32" s="567" t="str">
        <f>RESUMO!C21</f>
        <v>LOUÇAS, METAIS E BANCADAS</v>
      </c>
      <c r="D32" s="568">
        <f>RESUMO!D21</f>
        <v>92979.51</v>
      </c>
      <c r="E32" s="569"/>
      <c r="F32" s="565">
        <f t="shared" si="4"/>
        <v>2.6589999999999999E-2</v>
      </c>
      <c r="G32" s="325"/>
      <c r="H32" s="330"/>
      <c r="I32" s="10">
        <f>I33/$D32</f>
        <v>0.25</v>
      </c>
      <c r="J32" s="332"/>
      <c r="K32" s="10">
        <f>K33/$D32</f>
        <v>0.16669999999999999</v>
      </c>
      <c r="L32" s="10">
        <f>L33/$D32</f>
        <v>0.16669999999999999</v>
      </c>
      <c r="M32" s="369">
        <f>M33/$D32</f>
        <v>0.41670000000000001</v>
      </c>
      <c r="N32" s="318">
        <f t="shared" si="8"/>
        <v>1.0001</v>
      </c>
    </row>
    <row r="33" spans="2:14" ht="13.5" thickBot="1" x14ac:dyDescent="0.25">
      <c r="B33" s="566"/>
      <c r="C33" s="567"/>
      <c r="D33" s="570"/>
      <c r="E33" s="571"/>
      <c r="F33" s="565"/>
      <c r="G33" s="366"/>
      <c r="H33" s="365"/>
      <c r="I33" s="362">
        <f>'PLANILHA ORÇAMENTÁRIA'!I169/4</f>
        <v>23244.880000000001</v>
      </c>
      <c r="J33" s="366"/>
      <c r="K33" s="361">
        <f>'PLANILHA ORÇAMENTÁRIA'!I169/6</f>
        <v>15496.59</v>
      </c>
      <c r="L33" s="362">
        <f>'PLANILHA ORÇAMENTÁRIA'!I169/6</f>
        <v>15496.59</v>
      </c>
      <c r="M33" s="367">
        <f>D32-(L33+K33+I33)</f>
        <v>38741.449999999997</v>
      </c>
      <c r="N33" s="324">
        <f t="shared" si="8"/>
        <v>92979.51</v>
      </c>
    </row>
    <row r="34" spans="2:14" ht="13.5" thickTop="1" x14ac:dyDescent="0.2">
      <c r="B34" s="566" t="str">
        <f>RESUMO!B22</f>
        <v>12.0</v>
      </c>
      <c r="C34" s="567" t="str">
        <f>RESUMO!C22</f>
        <v xml:space="preserve">INSTALAÇÕES HIDROSSANITÁRIAS </v>
      </c>
      <c r="D34" s="568">
        <f>RESUMO!D22</f>
        <v>79270.45</v>
      </c>
      <c r="E34" s="569"/>
      <c r="F34" s="565">
        <f t="shared" si="4"/>
        <v>2.2669999999999999E-2</v>
      </c>
      <c r="G34" s="11">
        <f>G35/$D34</f>
        <v>0.26819999999999999</v>
      </c>
      <c r="H34" s="11">
        <f>H35/$D34</f>
        <v>0.26819999999999999</v>
      </c>
      <c r="I34" s="11">
        <f>I35/$D34</f>
        <v>0.1066</v>
      </c>
      <c r="J34" s="325"/>
      <c r="K34" s="325"/>
      <c r="L34" s="315">
        <f>L35/$D34</f>
        <v>0.13639999999999999</v>
      </c>
      <c r="M34" s="11">
        <f>M35/$D34</f>
        <v>0.2205</v>
      </c>
      <c r="N34" s="318">
        <f t="shared" si="8"/>
        <v>0.99990000000000001</v>
      </c>
    </row>
    <row r="35" spans="2:14" ht="13.5" thickBot="1" x14ac:dyDescent="0.25">
      <c r="B35" s="566"/>
      <c r="C35" s="567"/>
      <c r="D35" s="570"/>
      <c r="E35" s="571"/>
      <c r="F35" s="565"/>
      <c r="G35" s="361">
        <f>SUM('PLANILHA ORÇAMENTÁRIA'!I174:I192,'PLANILHA ORÇAMENTÁRIA'!I194:I215)/2</f>
        <v>21260.720000000001</v>
      </c>
      <c r="H35" s="361">
        <f>SUM('PLANILHA ORÇAMENTÁRIA'!I174:I192,'PLANILHA ORÇAMENTÁRIA'!I194:I215)/2</f>
        <v>21260.720000000001</v>
      </c>
      <c r="I35" s="362">
        <f>'PLANILHA ORÇAMENTÁRIA'!I171</f>
        <v>8452.9699999999993</v>
      </c>
      <c r="J35" s="366"/>
      <c r="K35" s="366"/>
      <c r="L35" s="362">
        <f>'PLANILHA ORÇAMENTÁRIA'!I172</f>
        <v>10813.44</v>
      </c>
      <c r="M35" s="363">
        <f>SUM('PLANILHA ORÇAMENTÁRIA'!I217:I224)</f>
        <v>17482.599999999999</v>
      </c>
      <c r="N35" s="324">
        <f t="shared" si="8"/>
        <v>79270.45</v>
      </c>
    </row>
    <row r="36" spans="2:14" ht="13.5" thickTop="1" x14ac:dyDescent="0.2">
      <c r="B36" s="566" t="str">
        <f>RESUMO!B23</f>
        <v>13.0</v>
      </c>
      <c r="C36" s="567" t="str">
        <f>RESUMO!C23</f>
        <v>INSTALAÇÕES ELÉTRICAS</v>
      </c>
      <c r="D36" s="568">
        <f>RESUMO!D23</f>
        <v>400674.12</v>
      </c>
      <c r="E36" s="569"/>
      <c r="F36" s="565">
        <f t="shared" si="4"/>
        <v>0.11459</v>
      </c>
      <c r="G36" s="11">
        <f>G37/$D36</f>
        <v>0.25</v>
      </c>
      <c r="H36" s="327"/>
      <c r="I36" s="327"/>
      <c r="J36" s="325"/>
      <c r="K36" s="11">
        <f>K37/$D36</f>
        <v>0.25</v>
      </c>
      <c r="L36" s="315">
        <f>L37/$D36</f>
        <v>0.25</v>
      </c>
      <c r="M36" s="11">
        <f>M37/$D36</f>
        <v>0.25</v>
      </c>
      <c r="N36" s="318">
        <f t="shared" si="8"/>
        <v>1</v>
      </c>
    </row>
    <row r="37" spans="2:14" ht="13.5" thickBot="1" x14ac:dyDescent="0.25">
      <c r="B37" s="566"/>
      <c r="C37" s="567"/>
      <c r="D37" s="570"/>
      <c r="E37" s="571"/>
      <c r="F37" s="565"/>
      <c r="G37" s="361">
        <f>'PLANILHA ORÇAMENTÁRIA'!I345/4</f>
        <v>100168.53</v>
      </c>
      <c r="H37" s="365"/>
      <c r="I37" s="365"/>
      <c r="J37" s="366"/>
      <c r="K37" s="361">
        <f>'PLANILHA ORÇAMENTÁRIA'!I345/4</f>
        <v>100168.53</v>
      </c>
      <c r="L37" s="362">
        <f>'PLANILHA ORÇAMENTÁRIA'!I345/4</f>
        <v>100168.53</v>
      </c>
      <c r="M37" s="363">
        <f>'PLANILHA ORÇAMENTÁRIA'!I345/4</f>
        <v>100168.53</v>
      </c>
      <c r="N37" s="324">
        <f t="shared" si="8"/>
        <v>400674.12</v>
      </c>
    </row>
    <row r="38" spans="2:14" ht="13.5" thickTop="1" x14ac:dyDescent="0.2">
      <c r="B38" s="566" t="str">
        <f>RESUMO!B24</f>
        <v>14.0</v>
      </c>
      <c r="C38" s="567" t="str">
        <f>RESUMO!C24</f>
        <v>REDE DE GASES</v>
      </c>
      <c r="D38" s="568">
        <f>RESUMO!D24</f>
        <v>32830.57</v>
      </c>
      <c r="E38" s="569"/>
      <c r="F38" s="565">
        <f t="shared" si="4"/>
        <v>9.3900000000000008E-3</v>
      </c>
      <c r="G38" s="11">
        <f>G39/$D38</f>
        <v>0.2</v>
      </c>
      <c r="H38" s="327"/>
      <c r="I38" s="327"/>
      <c r="J38" s="11">
        <f>J39/$D38</f>
        <v>0.5</v>
      </c>
      <c r="K38" s="11">
        <f>K39/$D38</f>
        <v>0.3</v>
      </c>
      <c r="L38" s="327"/>
      <c r="M38" s="326"/>
      <c r="N38" s="318">
        <f t="shared" si="8"/>
        <v>1</v>
      </c>
    </row>
    <row r="39" spans="2:14" ht="13.5" thickBot="1" x14ac:dyDescent="0.25">
      <c r="B39" s="566"/>
      <c r="C39" s="567"/>
      <c r="D39" s="570"/>
      <c r="E39" s="571"/>
      <c r="F39" s="565"/>
      <c r="G39" s="361">
        <f>'PLANILHA ORÇAMENTÁRIA'!I376/5</f>
        <v>6566.11</v>
      </c>
      <c r="H39" s="365"/>
      <c r="I39" s="365"/>
      <c r="J39" s="361">
        <f>'PLANILHA ORÇAMENTÁRIA'!I376/2</f>
        <v>16415.29</v>
      </c>
      <c r="K39" s="361">
        <f>D38-G39-J39</f>
        <v>9849.17</v>
      </c>
      <c r="L39" s="365"/>
      <c r="M39" s="367"/>
      <c r="N39" s="324">
        <f t="shared" si="8"/>
        <v>32830.57</v>
      </c>
    </row>
    <row r="40" spans="2:14" ht="13.5" thickTop="1" x14ac:dyDescent="0.2">
      <c r="B40" s="566" t="str">
        <f>RESUMO!B25</f>
        <v>15.0</v>
      </c>
      <c r="C40" s="572" t="str">
        <f>RESUMO!C25</f>
        <v>REDE LÓGICA E TELEFONIA</v>
      </c>
      <c r="D40" s="568">
        <f>RESUMO!D25</f>
        <v>20828.759999999998</v>
      </c>
      <c r="E40" s="569"/>
      <c r="F40" s="565">
        <f t="shared" si="4"/>
        <v>5.96E-3</v>
      </c>
      <c r="G40" s="11">
        <f>G41/$D40</f>
        <v>0.25</v>
      </c>
      <c r="H40" s="327"/>
      <c r="I40" s="11">
        <f>I41/$D40</f>
        <v>0.25</v>
      </c>
      <c r="J40" s="11">
        <f>J41/$D40</f>
        <v>0.5</v>
      </c>
      <c r="K40" s="325"/>
      <c r="L40" s="327"/>
      <c r="M40" s="326"/>
      <c r="N40" s="318">
        <f t="shared" si="8"/>
        <v>1</v>
      </c>
    </row>
    <row r="41" spans="2:14" ht="13.5" thickBot="1" x14ac:dyDescent="0.25">
      <c r="B41" s="566"/>
      <c r="C41" s="572"/>
      <c r="D41" s="570"/>
      <c r="E41" s="571"/>
      <c r="F41" s="565"/>
      <c r="G41" s="361">
        <f>'PLANILHA ORÇAMENTÁRIA'!I400/4</f>
        <v>5207.1899999999996</v>
      </c>
      <c r="H41" s="365"/>
      <c r="I41" s="361">
        <f>'PLANILHA ORÇAMENTÁRIA'!I400/4</f>
        <v>5207.1899999999996</v>
      </c>
      <c r="J41" s="361">
        <f>'PLANILHA ORÇAMENTÁRIA'!I400/2</f>
        <v>10414.379999999999</v>
      </c>
      <c r="K41" s="366"/>
      <c r="L41" s="365"/>
      <c r="M41" s="367"/>
      <c r="N41" s="324">
        <f t="shared" si="8"/>
        <v>20828.759999999998</v>
      </c>
    </row>
    <row r="42" spans="2:14" ht="13.5" thickTop="1" x14ac:dyDescent="0.2">
      <c r="B42" s="566" t="str">
        <f>RESUMO!B26</f>
        <v>16.0</v>
      </c>
      <c r="C42" s="572" t="str">
        <f>RESUMO!C26</f>
        <v>CLIMATIZAÇÃO</v>
      </c>
      <c r="D42" s="568">
        <f>RESUMO!D26</f>
        <v>112085.42</v>
      </c>
      <c r="E42" s="569"/>
      <c r="F42" s="565">
        <f t="shared" si="4"/>
        <v>3.2050000000000002E-2</v>
      </c>
      <c r="G42" s="325"/>
      <c r="H42" s="327"/>
      <c r="I42" s="327"/>
      <c r="J42" s="325"/>
      <c r="K42" s="11">
        <f>K43/$D42</f>
        <v>0.33329999999999999</v>
      </c>
      <c r="L42" s="315">
        <f>L43/$D42</f>
        <v>0.33329999999999999</v>
      </c>
      <c r="M42" s="11">
        <f>M43/$D42</f>
        <v>0.33329999999999999</v>
      </c>
      <c r="N42" s="318">
        <f t="shared" si="8"/>
        <v>0.99990000000000001</v>
      </c>
    </row>
    <row r="43" spans="2:14" ht="13.5" thickBot="1" x14ac:dyDescent="0.25">
      <c r="B43" s="566"/>
      <c r="C43" s="572"/>
      <c r="D43" s="570"/>
      <c r="E43" s="571"/>
      <c r="F43" s="565"/>
      <c r="G43" s="366"/>
      <c r="H43" s="365"/>
      <c r="I43" s="365"/>
      <c r="J43" s="366"/>
      <c r="K43" s="361">
        <f>'PLANILHA ORÇAMENTÁRIA'!I407/3</f>
        <v>37361.81</v>
      </c>
      <c r="L43" s="362">
        <f>'PLANILHA ORÇAMENTÁRIA'!I407/3</f>
        <v>37361.81</v>
      </c>
      <c r="M43" s="363">
        <v>37361.800000000003</v>
      </c>
      <c r="N43" s="324">
        <f t="shared" si="8"/>
        <v>112085.42</v>
      </c>
    </row>
    <row r="44" spans="2:14" ht="13.5" customHeight="1" thickTop="1" x14ac:dyDescent="0.2">
      <c r="B44" s="566" t="str">
        <f>RESUMO!B27</f>
        <v>17.0</v>
      </c>
      <c r="C44" s="572" t="str">
        <f>RESUMO!C27</f>
        <v>COMBATE E PREVENÇÃO A INCÊNCIO</v>
      </c>
      <c r="D44" s="568">
        <f>RESUMO!D27</f>
        <v>6508.04</v>
      </c>
      <c r="E44" s="569"/>
      <c r="F44" s="565">
        <f t="shared" si="4"/>
        <v>1.8600000000000001E-3</v>
      </c>
      <c r="G44" s="325"/>
      <c r="H44" s="327"/>
      <c r="I44" s="327"/>
      <c r="J44" s="325"/>
      <c r="K44" s="325"/>
      <c r="L44" s="315">
        <f>L45/$D44</f>
        <v>0.5</v>
      </c>
      <c r="M44" s="314">
        <f>M45/$D44</f>
        <v>0.5</v>
      </c>
      <c r="N44" s="318">
        <f t="shared" si="8"/>
        <v>1</v>
      </c>
    </row>
    <row r="45" spans="2:14" ht="13.5" thickBot="1" x14ac:dyDescent="0.25">
      <c r="B45" s="566"/>
      <c r="C45" s="572"/>
      <c r="D45" s="570"/>
      <c r="E45" s="571"/>
      <c r="F45" s="565"/>
      <c r="G45" s="366"/>
      <c r="H45" s="365"/>
      <c r="I45" s="365"/>
      <c r="J45" s="366"/>
      <c r="K45" s="366"/>
      <c r="L45" s="362">
        <f>'PLANILHA ORÇAMENTÁRIA'!I413/2</f>
        <v>3254.02</v>
      </c>
      <c r="M45" s="363">
        <f>'PLANILHA ORÇAMENTÁRIA'!I413/2</f>
        <v>3254.02</v>
      </c>
      <c r="N45" s="324">
        <f t="shared" si="8"/>
        <v>6508.04</v>
      </c>
    </row>
    <row r="46" spans="2:14" ht="13.5" thickTop="1" x14ac:dyDescent="0.2">
      <c r="B46" s="566" t="str">
        <f>RESUMO!B28</f>
        <v>18.0</v>
      </c>
      <c r="C46" s="572" t="str">
        <f>RESUMO!C28</f>
        <v>CALÇADA</v>
      </c>
      <c r="D46" s="568">
        <f>RESUMO!D28</f>
        <v>46653.79</v>
      </c>
      <c r="E46" s="569"/>
      <c r="F46" s="565">
        <f t="shared" si="4"/>
        <v>1.3339999999999999E-2</v>
      </c>
      <c r="G46" s="325"/>
      <c r="H46" s="327"/>
      <c r="I46" s="327"/>
      <c r="J46" s="11">
        <f>J47/$D46</f>
        <v>1</v>
      </c>
      <c r="K46" s="325"/>
      <c r="L46" s="327"/>
      <c r="M46" s="326"/>
      <c r="N46" s="318">
        <f t="shared" si="8"/>
        <v>1</v>
      </c>
    </row>
    <row r="47" spans="2:14" ht="13.5" thickBot="1" x14ac:dyDescent="0.25">
      <c r="B47" s="566"/>
      <c r="C47" s="572"/>
      <c r="D47" s="570"/>
      <c r="E47" s="571"/>
      <c r="F47" s="565"/>
      <c r="G47" s="366"/>
      <c r="H47" s="365"/>
      <c r="I47" s="365"/>
      <c r="J47" s="361">
        <f>'PLANILHA ORÇAMENTÁRIA'!I421</f>
        <v>46653.79</v>
      </c>
      <c r="K47" s="366"/>
      <c r="L47" s="365"/>
      <c r="M47" s="367"/>
      <c r="N47" s="324">
        <f t="shared" si="8"/>
        <v>46653.79</v>
      </c>
    </row>
    <row r="48" spans="2:14" ht="15.75" customHeight="1" thickTop="1" x14ac:dyDescent="0.2">
      <c r="B48" s="566" t="str">
        <f>RESUMO!B29</f>
        <v>19.0</v>
      </c>
      <c r="C48" s="572" t="str">
        <f>RESUMO!C29</f>
        <v>MURO</v>
      </c>
      <c r="D48" s="568">
        <f>RESUMO!D29</f>
        <v>65729.47</v>
      </c>
      <c r="E48" s="569"/>
      <c r="F48" s="565">
        <f t="shared" si="4"/>
        <v>1.8800000000000001E-2</v>
      </c>
      <c r="G48" s="325"/>
      <c r="H48" s="327"/>
      <c r="I48" s="327"/>
      <c r="J48" s="325"/>
      <c r="K48" s="325"/>
      <c r="L48" s="315">
        <f>L49/$D48</f>
        <v>0.5</v>
      </c>
      <c r="M48" s="314">
        <f>M49/$D48</f>
        <v>0.5</v>
      </c>
      <c r="N48" s="318">
        <f t="shared" si="8"/>
        <v>1</v>
      </c>
    </row>
    <row r="49" spans="2:14" ht="13.5" thickBot="1" x14ac:dyDescent="0.25">
      <c r="B49" s="566"/>
      <c r="C49" s="572"/>
      <c r="D49" s="570"/>
      <c r="E49" s="571"/>
      <c r="F49" s="565"/>
      <c r="G49" s="366"/>
      <c r="H49" s="365"/>
      <c r="I49" s="365"/>
      <c r="J49" s="366"/>
      <c r="K49" s="366"/>
      <c r="L49" s="362">
        <f>'PLANILHA ORÇAMENTÁRIA'!I446/2</f>
        <v>32864.74</v>
      </c>
      <c r="M49" s="363">
        <v>32864.730000000003</v>
      </c>
      <c r="N49" s="324">
        <f t="shared" si="8"/>
        <v>65729.47</v>
      </c>
    </row>
    <row r="50" spans="2:14" ht="13.5" thickTop="1" x14ac:dyDescent="0.2">
      <c r="B50" s="566" t="str">
        <f>RESUMO!B30</f>
        <v>20.0</v>
      </c>
      <c r="C50" s="572" t="str">
        <f>RESUMO!C30</f>
        <v>SERVIÇOS COMPLEMENTARES</v>
      </c>
      <c r="D50" s="568">
        <f>RESUMO!D30</f>
        <v>19354.330000000002</v>
      </c>
      <c r="E50" s="569"/>
      <c r="F50" s="565">
        <f t="shared" si="4"/>
        <v>5.5399999999999998E-3</v>
      </c>
      <c r="G50" s="325"/>
      <c r="H50" s="327"/>
      <c r="I50" s="327"/>
      <c r="J50" s="325"/>
      <c r="K50" s="325"/>
      <c r="L50" s="327"/>
      <c r="M50" s="314">
        <f>M51/$D50</f>
        <v>1</v>
      </c>
      <c r="N50" s="318">
        <f t="shared" si="8"/>
        <v>1</v>
      </c>
    </row>
    <row r="51" spans="2:14" ht="13.5" thickBot="1" x14ac:dyDescent="0.25">
      <c r="B51" s="566"/>
      <c r="C51" s="572"/>
      <c r="D51" s="570"/>
      <c r="E51" s="571"/>
      <c r="F51" s="565"/>
      <c r="G51" s="366"/>
      <c r="H51" s="365"/>
      <c r="I51" s="365"/>
      <c r="J51" s="366"/>
      <c r="K51" s="366"/>
      <c r="L51" s="365"/>
      <c r="M51" s="363">
        <f>'PLANILHA ORÇAMENTÁRIA'!I451</f>
        <v>19354.330000000002</v>
      </c>
      <c r="N51" s="324">
        <f t="shared" si="8"/>
        <v>19354.330000000002</v>
      </c>
    </row>
    <row r="52" spans="2:14" ht="13.5" thickTop="1" x14ac:dyDescent="0.2">
      <c r="B52" s="566" t="str">
        <f>RESUMO!B31</f>
        <v>21.0</v>
      </c>
      <c r="C52" s="572" t="str">
        <f>RESUMO!C31</f>
        <v>TRANSPORTE</v>
      </c>
      <c r="D52" s="568">
        <f>RESUMO!D31</f>
        <v>292980.46999999997</v>
      </c>
      <c r="E52" s="569"/>
      <c r="F52" s="565">
        <f t="shared" si="4"/>
        <v>8.3790000000000003E-2</v>
      </c>
      <c r="G52" s="11">
        <f>G53/$D52</f>
        <v>0.5</v>
      </c>
      <c r="H52" s="315">
        <f>H53/$D52</f>
        <v>0.25</v>
      </c>
      <c r="I52" s="315">
        <f>I53/$D52</f>
        <v>0.25</v>
      </c>
      <c r="J52" s="325"/>
      <c r="K52" s="327"/>
      <c r="L52" s="327"/>
      <c r="M52" s="326"/>
      <c r="N52" s="318">
        <f t="shared" si="8"/>
        <v>1</v>
      </c>
    </row>
    <row r="53" spans="2:14" ht="13.5" thickBot="1" x14ac:dyDescent="0.25">
      <c r="B53" s="580"/>
      <c r="C53" s="581"/>
      <c r="D53" s="582"/>
      <c r="E53" s="583"/>
      <c r="F53" s="584"/>
      <c r="G53" s="361">
        <f>'PLANILHA ORÇAMENTÁRIA'!I458/2</f>
        <v>146490.23999999999</v>
      </c>
      <c r="H53" s="362">
        <f>'PLANILHA ORÇAMENTÁRIA'!I458/4</f>
        <v>73245.119999999995</v>
      </c>
      <c r="I53" s="362">
        <v>73245.11</v>
      </c>
      <c r="J53" s="366"/>
      <c r="K53" s="365"/>
      <c r="L53" s="365"/>
      <c r="M53" s="367"/>
      <c r="N53" s="324">
        <f t="shared" si="8"/>
        <v>292980.46999999997</v>
      </c>
    </row>
    <row r="54" spans="2:14" ht="13.5" thickTop="1" x14ac:dyDescent="0.2">
      <c r="B54" s="573" t="s">
        <v>780</v>
      </c>
      <c r="C54" s="573"/>
      <c r="D54" s="574">
        <f>SUM(D12:E53)</f>
        <v>3496715.07</v>
      </c>
      <c r="E54" s="574"/>
      <c r="F54" s="370">
        <f>SUM(F12:F53)</f>
        <v>1</v>
      </c>
      <c r="G54" s="577"/>
      <c r="H54" s="578"/>
      <c r="I54" s="578"/>
      <c r="J54" s="578"/>
      <c r="K54" s="578"/>
      <c r="L54" s="578"/>
      <c r="M54" s="579"/>
    </row>
    <row r="56" spans="2:14" x14ac:dyDescent="0.2">
      <c r="M56" s="221" t="str">
        <f>'PLANILHA ORÇAMENTÁRIA'!I461</f>
        <v>ARIPUANÃ - MT, 04 de Abril de 2023.</v>
      </c>
    </row>
    <row r="58" spans="2:14" ht="90" customHeight="1" x14ac:dyDescent="0.2">
      <c r="B58" s="396" t="str">
        <f>'PLANILHA ORÇAMENTÁRIA'!B463</f>
        <v xml:space="preserve">
FLÁVIA MARIA COSTA
ENG. CIVIL - CREA/MT 031403</v>
      </c>
      <c r="C58" s="396"/>
      <c r="D58" s="396"/>
      <c r="E58" s="396"/>
      <c r="F58" s="396"/>
      <c r="G58" s="396"/>
      <c r="H58" s="396"/>
      <c r="I58" s="396"/>
      <c r="J58" s="396"/>
      <c r="K58" s="396"/>
      <c r="L58" s="396"/>
      <c r="M58" s="396"/>
    </row>
    <row r="59" spans="2:14" ht="13.15" customHeight="1" x14ac:dyDescent="0.2">
      <c r="C59" s="2"/>
      <c r="D59" s="251"/>
      <c r="E59" s="251"/>
      <c r="F59" s="251"/>
    </row>
    <row r="60" spans="2:14" ht="13.15" customHeight="1" x14ac:dyDescent="0.2">
      <c r="C60" s="2"/>
      <c r="D60" s="251"/>
      <c r="E60" s="251"/>
      <c r="F60" s="251"/>
    </row>
  </sheetData>
  <mergeCells count="105">
    <mergeCell ref="F14:F15"/>
    <mergeCell ref="C6:E6"/>
    <mergeCell ref="C7:E7"/>
    <mergeCell ref="C30:C31"/>
    <mergeCell ref="D30:E31"/>
    <mergeCell ref="D28:E29"/>
    <mergeCell ref="B58:M58"/>
    <mergeCell ref="M10:M11"/>
    <mergeCell ref="B5:M5"/>
    <mergeCell ref="B20:B21"/>
    <mergeCell ref="C20:C21"/>
    <mergeCell ref="D20:E21"/>
    <mergeCell ref="L10:L11"/>
    <mergeCell ref="C8:E8"/>
    <mergeCell ref="C9:E9"/>
    <mergeCell ref="B10:B11"/>
    <mergeCell ref="C10:C11"/>
    <mergeCell ref="D10:E11"/>
    <mergeCell ref="F10:F11"/>
    <mergeCell ref="G10:G11"/>
    <mergeCell ref="H10:H11"/>
    <mergeCell ref="I10:I11"/>
    <mergeCell ref="J10:J11"/>
    <mergeCell ref="K10:K11"/>
    <mergeCell ref="C4:M4"/>
    <mergeCell ref="G54:M54"/>
    <mergeCell ref="F32:F33"/>
    <mergeCell ref="B52:B53"/>
    <mergeCell ref="C52:C53"/>
    <mergeCell ref="D52:E53"/>
    <mergeCell ref="F52:F53"/>
    <mergeCell ref="B42:B43"/>
    <mergeCell ref="C42:C43"/>
    <mergeCell ref="D42:E43"/>
    <mergeCell ref="F42:F43"/>
    <mergeCell ref="B48:B49"/>
    <mergeCell ref="C48:C49"/>
    <mergeCell ref="D48:E49"/>
    <mergeCell ref="F12:F13"/>
    <mergeCell ref="B14:B15"/>
    <mergeCell ref="C14:C15"/>
    <mergeCell ref="D14:E15"/>
    <mergeCell ref="B12:B13"/>
    <mergeCell ref="C12:C13"/>
    <mergeCell ref="D12:E13"/>
    <mergeCell ref="B16:B17"/>
    <mergeCell ref="C16:C17"/>
    <mergeCell ref="D16:E17"/>
    <mergeCell ref="F16:F17"/>
    <mergeCell ref="B18:B19"/>
    <mergeCell ref="C18:C19"/>
    <mergeCell ref="D18:E19"/>
    <mergeCell ref="F18:F19"/>
    <mergeCell ref="F20:F21"/>
    <mergeCell ref="C26:C27"/>
    <mergeCell ref="D26:E27"/>
    <mergeCell ref="F26:F27"/>
    <mergeCell ref="B22:B23"/>
    <mergeCell ref="C22:C23"/>
    <mergeCell ref="D22:E23"/>
    <mergeCell ref="F22:F23"/>
    <mergeCell ref="F24:F25"/>
    <mergeCell ref="B54:C54"/>
    <mergeCell ref="D54:E54"/>
    <mergeCell ref="B36:B37"/>
    <mergeCell ref="C36:C37"/>
    <mergeCell ref="D36:E37"/>
    <mergeCell ref="F36:F37"/>
    <mergeCell ref="B32:B33"/>
    <mergeCell ref="C32:C33"/>
    <mergeCell ref="D32:E33"/>
    <mergeCell ref="F48:F49"/>
    <mergeCell ref="F34:F35"/>
    <mergeCell ref="F38:F39"/>
    <mergeCell ref="B34:B35"/>
    <mergeCell ref="C34:C35"/>
    <mergeCell ref="D34:E35"/>
    <mergeCell ref="B50:B51"/>
    <mergeCell ref="C50:C51"/>
    <mergeCell ref="D50:E51"/>
    <mergeCell ref="F50:F51"/>
    <mergeCell ref="F28:F29"/>
    <mergeCell ref="B24:B25"/>
    <mergeCell ref="C24:C25"/>
    <mergeCell ref="D24:E25"/>
    <mergeCell ref="B26:B27"/>
    <mergeCell ref="F40:F41"/>
    <mergeCell ref="F44:F45"/>
    <mergeCell ref="B46:B47"/>
    <mergeCell ref="C46:C47"/>
    <mergeCell ref="D46:E47"/>
    <mergeCell ref="F46:F47"/>
    <mergeCell ref="D38:E39"/>
    <mergeCell ref="D40:E41"/>
    <mergeCell ref="B44:B45"/>
    <mergeCell ref="C44:C45"/>
    <mergeCell ref="D44:E45"/>
    <mergeCell ref="B38:B39"/>
    <mergeCell ref="C38:C39"/>
    <mergeCell ref="B40:B41"/>
    <mergeCell ref="C40:C41"/>
    <mergeCell ref="F30:F31"/>
    <mergeCell ref="B28:B29"/>
    <mergeCell ref="C28:C29"/>
    <mergeCell ref="B30:B31"/>
  </mergeCells>
  <printOptions horizontalCentered="1"/>
  <pageMargins left="0.51181102362204722" right="0.51181102362204722" top="0.26" bottom="0.25" header="0.14000000000000001" footer="0.11"/>
  <pageSetup paperSize="9" scale="6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3:O43"/>
  <sheetViews>
    <sheetView topLeftCell="A19" workbookViewId="0">
      <selection activeCell="I25" sqref="I25"/>
    </sheetView>
  </sheetViews>
  <sheetFormatPr defaultColWidth="9.140625" defaultRowHeight="12.75" x14ac:dyDescent="0.2"/>
  <cols>
    <col min="1" max="2" width="9.140625" style="8"/>
    <col min="3" max="3" width="40.28515625" style="8" customWidth="1"/>
    <col min="4" max="4" width="16.28515625" style="8" customWidth="1"/>
    <col min="5" max="5" width="14.42578125" style="8" customWidth="1"/>
    <col min="6" max="7" width="13.28515625" style="8" customWidth="1"/>
    <col min="8" max="8" width="15.42578125" style="8" customWidth="1"/>
    <col min="9" max="9" width="13.28515625" style="8" customWidth="1"/>
    <col min="10" max="16384" width="9.140625" style="8"/>
  </cols>
  <sheetData>
    <row r="3" spans="3:15" ht="13.5" thickBot="1" x14ac:dyDescent="0.25"/>
    <row r="4" spans="3:15" ht="26.25" thickBot="1" x14ac:dyDescent="0.25">
      <c r="C4" s="107" t="s">
        <v>74</v>
      </c>
      <c r="D4" s="108" t="s">
        <v>75</v>
      </c>
      <c r="E4" s="108" t="s">
        <v>76</v>
      </c>
      <c r="F4" s="108" t="s">
        <v>83</v>
      </c>
      <c r="G4" s="108" t="s">
        <v>37</v>
      </c>
      <c r="H4" s="108" t="s">
        <v>84</v>
      </c>
      <c r="I4" s="108" t="s">
        <v>37</v>
      </c>
      <c r="J4" s="108" t="s">
        <v>88</v>
      </c>
      <c r="K4" s="108"/>
      <c r="L4" s="109"/>
    </row>
    <row r="5" spans="3:15" ht="22.5" customHeight="1" x14ac:dyDescent="0.2">
      <c r="C5" s="110" t="s">
        <v>77</v>
      </c>
      <c r="D5" s="46">
        <v>17.100000000000001</v>
      </c>
      <c r="E5" s="46" t="s">
        <v>78</v>
      </c>
      <c r="F5" s="46" t="s">
        <v>85</v>
      </c>
      <c r="G5" s="46">
        <v>2</v>
      </c>
      <c r="H5" s="46" t="s">
        <v>86</v>
      </c>
      <c r="I5" s="46">
        <v>1</v>
      </c>
      <c r="J5" s="46"/>
      <c r="K5" s="46"/>
      <c r="L5" s="111"/>
      <c r="O5" s="8" t="s">
        <v>146</v>
      </c>
    </row>
    <row r="6" spans="3:15" x14ac:dyDescent="0.2">
      <c r="C6" s="112" t="s">
        <v>79</v>
      </c>
      <c r="D6" s="85">
        <v>12.7</v>
      </c>
      <c r="E6" s="85" t="s">
        <v>80</v>
      </c>
      <c r="F6" s="85" t="s">
        <v>85</v>
      </c>
      <c r="G6" s="85">
        <v>1</v>
      </c>
      <c r="H6" s="85" t="s">
        <v>87</v>
      </c>
      <c r="I6" s="85">
        <v>1</v>
      </c>
      <c r="J6" s="85" t="s">
        <v>89</v>
      </c>
      <c r="K6" s="85"/>
      <c r="L6" s="113"/>
    </row>
    <row r="7" spans="3:15" x14ac:dyDescent="0.2">
      <c r="C7" s="112" t="s">
        <v>81</v>
      </c>
      <c r="D7" s="85">
        <v>55.11</v>
      </c>
      <c r="E7" s="85" t="s">
        <v>82</v>
      </c>
      <c r="F7" s="85" t="s">
        <v>90</v>
      </c>
      <c r="G7" s="85">
        <v>1</v>
      </c>
      <c r="H7" s="85" t="s">
        <v>91</v>
      </c>
      <c r="I7" s="85">
        <v>2</v>
      </c>
      <c r="J7" s="85" t="s">
        <v>89</v>
      </c>
      <c r="K7" s="85"/>
      <c r="L7" s="113"/>
    </row>
    <row r="8" spans="3:15" x14ac:dyDescent="0.2">
      <c r="C8" s="114" t="s">
        <v>92</v>
      </c>
      <c r="D8" s="85">
        <v>3.67</v>
      </c>
      <c r="E8" s="85" t="s">
        <v>94</v>
      </c>
      <c r="F8" s="46" t="s">
        <v>95</v>
      </c>
      <c r="G8" s="85">
        <v>1</v>
      </c>
      <c r="H8" s="85" t="s">
        <v>96</v>
      </c>
      <c r="I8" s="85">
        <v>1</v>
      </c>
      <c r="J8" s="85" t="s">
        <v>89</v>
      </c>
      <c r="K8" s="85"/>
      <c r="L8" s="113"/>
    </row>
    <row r="9" spans="3:15" x14ac:dyDescent="0.2">
      <c r="C9" s="114" t="s">
        <v>93</v>
      </c>
      <c r="D9" s="85">
        <v>3.67</v>
      </c>
      <c r="E9" s="85" t="s">
        <v>94</v>
      </c>
      <c r="F9" s="46" t="s">
        <v>95</v>
      </c>
      <c r="G9" s="85">
        <v>1</v>
      </c>
      <c r="H9" s="85" t="s">
        <v>96</v>
      </c>
      <c r="I9" s="85">
        <v>1</v>
      </c>
      <c r="J9" s="85" t="s">
        <v>89</v>
      </c>
      <c r="K9" s="85"/>
      <c r="L9" s="113"/>
    </row>
    <row r="10" spans="3:15" x14ac:dyDescent="0.2">
      <c r="C10" s="112" t="s">
        <v>97</v>
      </c>
      <c r="D10" s="85">
        <v>4.22</v>
      </c>
      <c r="E10" s="85"/>
      <c r="F10" s="85"/>
      <c r="G10" s="85"/>
      <c r="H10" s="85"/>
      <c r="I10" s="85"/>
      <c r="J10" s="85"/>
      <c r="K10" s="85"/>
      <c r="L10" s="113"/>
    </row>
    <row r="11" spans="3:15" x14ac:dyDescent="0.2">
      <c r="C11" s="112" t="s">
        <v>98</v>
      </c>
      <c r="D11" s="85">
        <v>9.2799999999999994</v>
      </c>
      <c r="E11" s="85" t="s">
        <v>99</v>
      </c>
      <c r="F11" s="85"/>
      <c r="G11" s="85"/>
      <c r="H11" s="85"/>
      <c r="I11" s="85"/>
      <c r="J11" s="85"/>
      <c r="K11" s="85"/>
      <c r="L11" s="113"/>
    </row>
    <row r="12" spans="3:15" x14ac:dyDescent="0.2">
      <c r="C12" s="114" t="s">
        <v>100</v>
      </c>
      <c r="D12" s="85">
        <v>12.26</v>
      </c>
      <c r="E12" s="85" t="s">
        <v>101</v>
      </c>
      <c r="F12" s="46" t="s">
        <v>85</v>
      </c>
      <c r="G12" s="85">
        <v>1</v>
      </c>
      <c r="H12" s="85" t="s">
        <v>102</v>
      </c>
      <c r="I12" s="85">
        <v>1</v>
      </c>
      <c r="J12" s="85" t="s">
        <v>89</v>
      </c>
      <c r="K12" s="85"/>
      <c r="L12" s="113"/>
    </row>
    <row r="13" spans="3:15" x14ac:dyDescent="0.2">
      <c r="C13" s="114" t="s">
        <v>103</v>
      </c>
      <c r="D13" s="85">
        <v>13.88</v>
      </c>
      <c r="E13" s="85" t="s">
        <v>104</v>
      </c>
      <c r="F13" s="46" t="s">
        <v>85</v>
      </c>
      <c r="G13" s="85">
        <v>1</v>
      </c>
      <c r="H13" s="85" t="s">
        <v>87</v>
      </c>
      <c r="I13" s="85">
        <v>1</v>
      </c>
      <c r="J13" s="85"/>
      <c r="K13" s="85"/>
      <c r="L13" s="113"/>
    </row>
    <row r="14" spans="3:15" x14ac:dyDescent="0.2">
      <c r="C14" s="114" t="s">
        <v>105</v>
      </c>
      <c r="D14" s="85">
        <v>4.76</v>
      </c>
      <c r="E14" s="85">
        <v>2.38</v>
      </c>
      <c r="F14" s="46" t="s">
        <v>95</v>
      </c>
      <c r="G14" s="85">
        <v>1</v>
      </c>
      <c r="H14" s="115"/>
      <c r="I14" s="115"/>
      <c r="J14" s="115"/>
      <c r="K14" s="85"/>
      <c r="L14" s="113"/>
    </row>
    <row r="15" spans="3:15" x14ac:dyDescent="0.2">
      <c r="C15" s="114" t="s">
        <v>106</v>
      </c>
      <c r="D15" s="85">
        <v>20.39</v>
      </c>
      <c r="E15" s="85" t="s">
        <v>107</v>
      </c>
      <c r="F15" s="85" t="s">
        <v>108</v>
      </c>
      <c r="G15" s="85">
        <v>1</v>
      </c>
      <c r="H15" s="85" t="s">
        <v>87</v>
      </c>
      <c r="I15" s="85">
        <v>1</v>
      </c>
      <c r="J15" s="85" t="s">
        <v>89</v>
      </c>
      <c r="K15" s="85"/>
      <c r="L15" s="113"/>
    </row>
    <row r="16" spans="3:15" x14ac:dyDescent="0.2">
      <c r="C16" s="114" t="s">
        <v>109</v>
      </c>
      <c r="D16" s="85">
        <v>3.63</v>
      </c>
      <c r="E16" s="85" t="s">
        <v>110</v>
      </c>
      <c r="F16" s="46" t="s">
        <v>95</v>
      </c>
      <c r="G16" s="85">
        <v>1</v>
      </c>
      <c r="H16" s="85" t="s">
        <v>96</v>
      </c>
      <c r="I16" s="85">
        <v>1</v>
      </c>
      <c r="J16" s="85" t="s">
        <v>89</v>
      </c>
      <c r="K16" s="85"/>
      <c r="L16" s="113"/>
    </row>
    <row r="17" spans="3:12" x14ac:dyDescent="0.2">
      <c r="C17" s="112" t="s">
        <v>111</v>
      </c>
      <c r="D17" s="85">
        <v>23.42</v>
      </c>
      <c r="E17" s="85" t="s">
        <v>114</v>
      </c>
      <c r="F17" s="85" t="s">
        <v>108</v>
      </c>
      <c r="G17" s="85">
        <v>2</v>
      </c>
      <c r="H17" s="85" t="s">
        <v>112</v>
      </c>
      <c r="I17" s="85">
        <v>1</v>
      </c>
      <c r="J17" s="85" t="s">
        <v>113</v>
      </c>
      <c r="K17" s="85"/>
      <c r="L17" s="113"/>
    </row>
    <row r="18" spans="3:12" x14ac:dyDescent="0.2">
      <c r="C18" s="114" t="s">
        <v>115</v>
      </c>
      <c r="D18" s="85">
        <v>12.28</v>
      </c>
      <c r="E18" s="85"/>
      <c r="F18" s="46" t="s">
        <v>117</v>
      </c>
      <c r="G18" s="116">
        <v>44197</v>
      </c>
      <c r="H18" s="85" t="s">
        <v>118</v>
      </c>
      <c r="I18" s="85" t="s">
        <v>119</v>
      </c>
      <c r="J18" s="85" t="s">
        <v>113</v>
      </c>
      <c r="K18" s="85"/>
      <c r="L18" s="113"/>
    </row>
    <row r="19" spans="3:12" x14ac:dyDescent="0.2">
      <c r="C19" s="114" t="s">
        <v>116</v>
      </c>
      <c r="D19" s="85">
        <v>13.48</v>
      </c>
      <c r="E19" s="85" t="s">
        <v>122</v>
      </c>
      <c r="F19" s="46" t="s">
        <v>117</v>
      </c>
      <c r="G19" s="116">
        <v>44197</v>
      </c>
      <c r="H19" s="85" t="s">
        <v>102</v>
      </c>
      <c r="I19" s="85">
        <v>1</v>
      </c>
      <c r="J19" s="85" t="s">
        <v>113</v>
      </c>
      <c r="K19" s="85"/>
      <c r="L19" s="113"/>
    </row>
    <row r="20" spans="3:12" x14ac:dyDescent="0.2">
      <c r="C20" s="114" t="s">
        <v>120</v>
      </c>
      <c r="D20" s="85">
        <v>2.7</v>
      </c>
      <c r="E20" s="85" t="s">
        <v>121</v>
      </c>
      <c r="F20" s="115"/>
      <c r="G20" s="115"/>
      <c r="H20" s="85" t="s">
        <v>96</v>
      </c>
      <c r="I20" s="85">
        <v>1</v>
      </c>
      <c r="J20" s="85" t="s">
        <v>113</v>
      </c>
      <c r="K20" s="85"/>
      <c r="L20" s="113"/>
    </row>
    <row r="21" spans="3:12" x14ac:dyDescent="0.2">
      <c r="C21" s="114" t="s">
        <v>123</v>
      </c>
      <c r="D21" s="85">
        <v>20.85</v>
      </c>
      <c r="E21" s="85" t="s">
        <v>124</v>
      </c>
      <c r="F21" s="46" t="s">
        <v>85</v>
      </c>
      <c r="G21" s="85">
        <v>1</v>
      </c>
      <c r="H21" s="85" t="s">
        <v>87</v>
      </c>
      <c r="I21" s="85">
        <v>1</v>
      </c>
      <c r="J21" s="85" t="s">
        <v>113</v>
      </c>
      <c r="K21" s="85"/>
      <c r="L21" s="113"/>
    </row>
    <row r="22" spans="3:12" ht="25.5" x14ac:dyDescent="0.2">
      <c r="C22" s="114" t="s">
        <v>125</v>
      </c>
      <c r="D22" s="85">
        <v>18.28</v>
      </c>
      <c r="E22" s="27" t="s">
        <v>128</v>
      </c>
      <c r="F22" s="46" t="s">
        <v>85</v>
      </c>
      <c r="G22" s="85">
        <v>1</v>
      </c>
      <c r="H22" s="85" t="s">
        <v>102</v>
      </c>
      <c r="I22" s="85">
        <v>1</v>
      </c>
      <c r="J22" s="85" t="s">
        <v>113</v>
      </c>
      <c r="K22" s="85"/>
      <c r="L22" s="113"/>
    </row>
    <row r="23" spans="3:12" x14ac:dyDescent="0.2">
      <c r="C23" s="114" t="s">
        <v>126</v>
      </c>
      <c r="D23" s="85">
        <v>2.99</v>
      </c>
      <c r="E23" s="85">
        <v>1.5</v>
      </c>
      <c r="F23" s="46" t="s">
        <v>95</v>
      </c>
      <c r="G23" s="85">
        <v>1</v>
      </c>
      <c r="H23" s="115"/>
      <c r="I23" s="115"/>
      <c r="J23" s="115"/>
      <c r="K23" s="85"/>
      <c r="L23" s="113"/>
    </row>
    <row r="24" spans="3:12" x14ac:dyDescent="0.2">
      <c r="C24" s="112" t="s">
        <v>127</v>
      </c>
      <c r="D24" s="85">
        <v>10.1</v>
      </c>
      <c r="E24" s="85" t="s">
        <v>129</v>
      </c>
      <c r="F24" s="46" t="s">
        <v>85</v>
      </c>
      <c r="G24" s="85">
        <v>1</v>
      </c>
      <c r="H24" s="85" t="s">
        <v>91</v>
      </c>
      <c r="I24" s="85">
        <v>1</v>
      </c>
      <c r="J24" s="85" t="s">
        <v>113</v>
      </c>
      <c r="K24" s="85"/>
      <c r="L24" s="113"/>
    </row>
    <row r="25" spans="3:12" x14ac:dyDescent="0.2">
      <c r="C25" s="112" t="s">
        <v>130</v>
      </c>
      <c r="D25" s="85">
        <v>12.4</v>
      </c>
      <c r="E25" s="85" t="s">
        <v>133</v>
      </c>
      <c r="F25" s="46" t="s">
        <v>85</v>
      </c>
      <c r="G25" s="85">
        <v>1</v>
      </c>
      <c r="H25" s="85" t="s">
        <v>87</v>
      </c>
      <c r="I25" s="85">
        <v>1</v>
      </c>
      <c r="J25" s="85" t="s">
        <v>113</v>
      </c>
      <c r="K25" s="85"/>
      <c r="L25" s="113"/>
    </row>
    <row r="26" spans="3:12" x14ac:dyDescent="0.2">
      <c r="C26" s="114" t="s">
        <v>131</v>
      </c>
      <c r="D26" s="85">
        <v>6.99</v>
      </c>
      <c r="E26" s="85" t="s">
        <v>134</v>
      </c>
      <c r="F26" s="46" t="s">
        <v>85</v>
      </c>
      <c r="G26" s="85">
        <v>1</v>
      </c>
      <c r="H26" s="85" t="s">
        <v>91</v>
      </c>
      <c r="I26" s="85">
        <v>1</v>
      </c>
      <c r="J26" s="85" t="s">
        <v>113</v>
      </c>
      <c r="K26" s="85"/>
      <c r="L26" s="113"/>
    </row>
    <row r="27" spans="3:12" x14ac:dyDescent="0.2">
      <c r="C27" s="114" t="s">
        <v>132</v>
      </c>
      <c r="D27" s="85">
        <v>19.13</v>
      </c>
      <c r="E27" s="85" t="s">
        <v>135</v>
      </c>
      <c r="F27" s="46" t="s">
        <v>85</v>
      </c>
      <c r="G27" s="85">
        <v>1</v>
      </c>
      <c r="H27" s="85" t="s">
        <v>136</v>
      </c>
      <c r="I27" s="85" t="s">
        <v>119</v>
      </c>
      <c r="J27" s="85" t="s">
        <v>113</v>
      </c>
      <c r="K27" s="85"/>
      <c r="L27" s="113"/>
    </row>
    <row r="28" spans="3:12" x14ac:dyDescent="0.2">
      <c r="C28" s="112" t="s">
        <v>137</v>
      </c>
      <c r="D28" s="85">
        <v>16.54</v>
      </c>
      <c r="E28" s="85"/>
      <c r="F28" s="85"/>
      <c r="G28" s="85"/>
      <c r="H28" s="85"/>
      <c r="I28" s="85"/>
      <c r="J28" s="85"/>
      <c r="K28" s="85"/>
      <c r="L28" s="117"/>
    </row>
    <row r="29" spans="3:12" x14ac:dyDescent="0.2">
      <c r="C29" s="112" t="s">
        <v>138</v>
      </c>
      <c r="D29" s="85">
        <v>12.81</v>
      </c>
      <c r="E29" s="85"/>
      <c r="F29" s="85"/>
      <c r="G29" s="85"/>
      <c r="H29" s="85"/>
      <c r="I29" s="85"/>
      <c r="J29" s="85"/>
      <c r="K29" s="85"/>
      <c r="L29" s="117"/>
    </row>
    <row r="30" spans="3:12" x14ac:dyDescent="0.2">
      <c r="C30" s="112" t="s">
        <v>139</v>
      </c>
      <c r="D30" s="85">
        <v>36.130000000000003</v>
      </c>
      <c r="E30" s="85"/>
      <c r="F30" s="85"/>
      <c r="G30" s="85"/>
      <c r="H30" s="85"/>
      <c r="I30" s="85"/>
      <c r="J30" s="85"/>
      <c r="K30" s="85"/>
      <c r="L30" s="117"/>
    </row>
    <row r="31" spans="3:12" x14ac:dyDescent="0.2">
      <c r="C31" s="112" t="s">
        <v>140</v>
      </c>
      <c r="D31" s="85">
        <v>4.75</v>
      </c>
      <c r="E31" s="85" t="s">
        <v>147</v>
      </c>
      <c r="F31" s="46" t="s">
        <v>85</v>
      </c>
      <c r="G31" s="85">
        <v>1</v>
      </c>
      <c r="H31" s="85" t="s">
        <v>155</v>
      </c>
      <c r="I31" s="85">
        <v>1</v>
      </c>
      <c r="J31" s="85" t="s">
        <v>113</v>
      </c>
      <c r="K31" s="85"/>
      <c r="L31" s="117"/>
    </row>
    <row r="32" spans="3:12" x14ac:dyDescent="0.2">
      <c r="C32" s="114" t="s">
        <v>151</v>
      </c>
      <c r="D32" s="85">
        <v>8.2200000000000006</v>
      </c>
      <c r="E32" s="85" t="s">
        <v>148</v>
      </c>
      <c r="F32" s="46" t="s">
        <v>85</v>
      </c>
      <c r="G32" s="85">
        <v>1</v>
      </c>
      <c r="H32" s="85" t="s">
        <v>136</v>
      </c>
      <c r="I32" s="85" t="s">
        <v>119</v>
      </c>
      <c r="J32" s="85" t="s">
        <v>113</v>
      </c>
      <c r="K32" s="85"/>
      <c r="L32" s="117"/>
    </row>
    <row r="33" spans="3:12" x14ac:dyDescent="0.2">
      <c r="C33" s="118" t="s">
        <v>141</v>
      </c>
      <c r="D33" s="85">
        <v>10.92</v>
      </c>
      <c r="E33" s="85" t="s">
        <v>149</v>
      </c>
      <c r="F33" s="46" t="s">
        <v>85</v>
      </c>
      <c r="G33" s="85">
        <v>1</v>
      </c>
      <c r="H33" s="85" t="s">
        <v>91</v>
      </c>
      <c r="I33" s="85">
        <v>1</v>
      </c>
      <c r="J33" s="85" t="s">
        <v>113</v>
      </c>
      <c r="K33" s="85"/>
      <c r="L33" s="117"/>
    </row>
    <row r="34" spans="3:12" x14ac:dyDescent="0.2">
      <c r="C34" s="119" t="s">
        <v>142</v>
      </c>
      <c r="D34" s="85">
        <v>5.09</v>
      </c>
      <c r="E34" s="85" t="s">
        <v>150</v>
      </c>
      <c r="F34" s="46" t="s">
        <v>154</v>
      </c>
      <c r="G34" s="85">
        <v>1</v>
      </c>
      <c r="H34" s="85" t="s">
        <v>96</v>
      </c>
      <c r="I34" s="85">
        <v>1</v>
      </c>
      <c r="J34" s="85" t="s">
        <v>113</v>
      </c>
      <c r="K34" s="85"/>
      <c r="L34" s="117"/>
    </row>
    <row r="35" spans="3:12" x14ac:dyDescent="0.2">
      <c r="C35" s="119" t="s">
        <v>143</v>
      </c>
      <c r="D35" s="85">
        <v>5.09</v>
      </c>
      <c r="E35" s="85" t="s">
        <v>150</v>
      </c>
      <c r="F35" s="46" t="s">
        <v>154</v>
      </c>
      <c r="G35" s="85">
        <v>1</v>
      </c>
      <c r="H35" s="85" t="s">
        <v>96</v>
      </c>
      <c r="I35" s="85">
        <v>1</v>
      </c>
      <c r="J35" s="85" t="s">
        <v>113</v>
      </c>
      <c r="K35" s="85"/>
      <c r="L35" s="117"/>
    </row>
    <row r="36" spans="3:12" ht="25.5" x14ac:dyDescent="0.2">
      <c r="C36" s="120" t="s">
        <v>144</v>
      </c>
      <c r="D36" s="27">
        <v>12.73</v>
      </c>
      <c r="E36" s="27" t="s">
        <v>152</v>
      </c>
      <c r="F36" s="46" t="s">
        <v>85</v>
      </c>
      <c r="G36" s="85">
        <v>1</v>
      </c>
      <c r="H36" s="85" t="s">
        <v>87</v>
      </c>
      <c r="I36" s="85">
        <v>1</v>
      </c>
      <c r="J36" s="85" t="s">
        <v>113</v>
      </c>
      <c r="K36" s="85"/>
      <c r="L36" s="117"/>
    </row>
    <row r="37" spans="3:12" ht="25.5" x14ac:dyDescent="0.2">
      <c r="C37" s="121" t="s">
        <v>145</v>
      </c>
      <c r="D37" s="122">
        <v>15.86</v>
      </c>
      <c r="E37" s="95" t="s">
        <v>153</v>
      </c>
      <c r="F37" s="46" t="s">
        <v>85</v>
      </c>
      <c r="G37" s="122">
        <v>1</v>
      </c>
      <c r="H37" s="85" t="s">
        <v>87</v>
      </c>
      <c r="I37" s="122">
        <v>2</v>
      </c>
      <c r="J37" s="122" t="s">
        <v>113</v>
      </c>
      <c r="K37" s="122"/>
      <c r="L37" s="123"/>
    </row>
    <row r="38" spans="3:12" x14ac:dyDescent="0.2">
      <c r="C38" s="124" t="s">
        <v>156</v>
      </c>
      <c r="D38" s="122">
        <v>4.3600000000000003</v>
      </c>
      <c r="E38" s="122" t="s">
        <v>162</v>
      </c>
      <c r="F38" s="46" t="s">
        <v>160</v>
      </c>
      <c r="G38" s="122">
        <v>2</v>
      </c>
      <c r="H38" s="125"/>
      <c r="I38" s="125"/>
      <c r="J38" s="125"/>
      <c r="K38" s="122"/>
      <c r="L38" s="123"/>
    </row>
    <row r="39" spans="3:12" x14ac:dyDescent="0.2">
      <c r="C39" s="124" t="s">
        <v>157</v>
      </c>
      <c r="D39" s="122">
        <v>4.6100000000000003</v>
      </c>
      <c r="E39" s="122" t="s">
        <v>163</v>
      </c>
      <c r="F39" s="46" t="s">
        <v>160</v>
      </c>
      <c r="G39" s="122">
        <v>2</v>
      </c>
      <c r="H39" s="125"/>
      <c r="I39" s="125"/>
      <c r="J39" s="125"/>
      <c r="K39" s="122"/>
      <c r="L39" s="123"/>
    </row>
    <row r="40" spans="3:12" x14ac:dyDescent="0.2">
      <c r="C40" s="124" t="s">
        <v>158</v>
      </c>
      <c r="D40" s="122">
        <v>4.82</v>
      </c>
      <c r="E40" s="122" t="s">
        <v>164</v>
      </c>
      <c r="F40" s="122" t="s">
        <v>165</v>
      </c>
      <c r="G40" s="122">
        <v>1</v>
      </c>
      <c r="H40" s="125"/>
      <c r="I40" s="125"/>
      <c r="J40" s="125"/>
      <c r="K40" s="122"/>
      <c r="L40" s="123"/>
    </row>
    <row r="41" spans="3:12" x14ac:dyDescent="0.2">
      <c r="C41" s="124" t="s">
        <v>159</v>
      </c>
      <c r="D41" s="122">
        <v>5.76</v>
      </c>
      <c r="E41" s="122" t="s">
        <v>161</v>
      </c>
      <c r="F41" s="122" t="s">
        <v>166</v>
      </c>
      <c r="G41" s="122">
        <v>1</v>
      </c>
      <c r="H41" s="125"/>
      <c r="I41" s="125"/>
      <c r="J41" s="125"/>
      <c r="K41" s="122"/>
      <c r="L41" s="123"/>
    </row>
    <row r="42" spans="3:12" ht="13.5" thickBot="1" x14ac:dyDescent="0.25">
      <c r="C42" s="124" t="s">
        <v>167</v>
      </c>
      <c r="D42" s="126">
        <v>28.9</v>
      </c>
      <c r="E42" s="126"/>
      <c r="F42" s="126"/>
      <c r="G42" s="126"/>
      <c r="H42" s="126"/>
      <c r="I42" s="126"/>
      <c r="J42" s="126"/>
      <c r="K42" s="126"/>
      <c r="L42" s="127"/>
    </row>
    <row r="43" spans="3:12" ht="13.5" thickBot="1" x14ac:dyDescent="0.25">
      <c r="C43" s="128"/>
      <c r="D43" s="129">
        <f>SUM(D5:D42)</f>
        <v>479.88</v>
      </c>
      <c r="E43" s="129"/>
      <c r="F43" s="129"/>
      <c r="G43" s="129"/>
      <c r="H43" s="129"/>
      <c r="I43" s="129"/>
      <c r="J43" s="129"/>
      <c r="K43" s="129"/>
      <c r="L43" s="130"/>
    </row>
  </sheetData>
  <pageMargins left="0.511811024" right="0.511811024" top="0.78740157499999996" bottom="0.78740157499999996" header="0.31496062000000002" footer="0.31496062000000002"/>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4:G31"/>
  <sheetViews>
    <sheetView workbookViewId="0">
      <selection activeCell="L21" sqref="L21"/>
    </sheetView>
  </sheetViews>
  <sheetFormatPr defaultColWidth="9.140625" defaultRowHeight="15" x14ac:dyDescent="0.25"/>
  <cols>
    <col min="1" max="4" width="9.140625" style="106"/>
    <col min="5" max="5" width="20.85546875" style="106" customWidth="1"/>
    <col min="6" max="6" width="9.140625" style="106"/>
    <col min="7" max="7" width="11.7109375" style="106" customWidth="1"/>
    <col min="8" max="16384" width="9.140625" style="106"/>
  </cols>
  <sheetData>
    <row r="4" spans="2:7" x14ac:dyDescent="0.25">
      <c r="B4" s="106">
        <v>0.24</v>
      </c>
      <c r="E4" s="106">
        <v>126.25</v>
      </c>
      <c r="G4" s="106">
        <v>35.86</v>
      </c>
    </row>
    <row r="5" spans="2:7" x14ac:dyDescent="0.25">
      <c r="B5" s="106">
        <v>3.75</v>
      </c>
      <c r="E5" s="106">
        <v>44.93</v>
      </c>
      <c r="G5" s="106">
        <v>31.54</v>
      </c>
    </row>
    <row r="6" spans="2:7" x14ac:dyDescent="0.25">
      <c r="B6" s="106">
        <v>0.51</v>
      </c>
      <c r="E6" s="106">
        <v>28.78</v>
      </c>
      <c r="G6" s="106">
        <v>25.98</v>
      </c>
    </row>
    <row r="7" spans="2:7" x14ac:dyDescent="0.25">
      <c r="B7" s="106">
        <v>2</v>
      </c>
      <c r="E7" s="106">
        <v>38.5</v>
      </c>
      <c r="G7" s="106">
        <v>23.33</v>
      </c>
    </row>
    <row r="8" spans="2:7" x14ac:dyDescent="0.25">
      <c r="B8" s="106">
        <v>0.37</v>
      </c>
      <c r="E8" s="106">
        <v>44.87</v>
      </c>
      <c r="G8" s="106">
        <v>23.81</v>
      </c>
    </row>
    <row r="9" spans="2:7" x14ac:dyDescent="0.25">
      <c r="B9" s="106">
        <v>0.15</v>
      </c>
      <c r="E9" s="106">
        <v>39.85</v>
      </c>
      <c r="G9" s="106">
        <v>24.25</v>
      </c>
    </row>
    <row r="10" spans="2:7" x14ac:dyDescent="0.25">
      <c r="B10" s="106">
        <v>1.65</v>
      </c>
      <c r="E10" s="106">
        <v>20.95</v>
      </c>
      <c r="G10" s="106">
        <v>15.88</v>
      </c>
    </row>
    <row r="11" spans="2:7" x14ac:dyDescent="0.25">
      <c r="B11" s="106">
        <v>0.15</v>
      </c>
      <c r="E11" s="106">
        <v>20.95</v>
      </c>
      <c r="G11" s="106">
        <v>15.88</v>
      </c>
    </row>
    <row r="12" spans="2:7" x14ac:dyDescent="0.25">
      <c r="B12" s="106">
        <v>2.39</v>
      </c>
      <c r="E12" s="106">
        <v>39.31</v>
      </c>
      <c r="G12" s="106">
        <v>13.34</v>
      </c>
    </row>
    <row r="13" spans="2:7" x14ac:dyDescent="0.25">
      <c r="B13" s="106">
        <v>1.5</v>
      </c>
      <c r="E13" s="106">
        <v>43.74</v>
      </c>
      <c r="G13" s="106">
        <v>26.4</v>
      </c>
    </row>
    <row r="14" spans="2:7" x14ac:dyDescent="0.25">
      <c r="B14" s="106">
        <v>1.46</v>
      </c>
      <c r="E14" s="106">
        <v>23.65</v>
      </c>
      <c r="G14" s="106">
        <v>59.24</v>
      </c>
    </row>
    <row r="15" spans="2:7" x14ac:dyDescent="0.25">
      <c r="B15" s="106">
        <v>2</v>
      </c>
      <c r="E15" s="106">
        <v>51.2</v>
      </c>
      <c r="G15" s="106">
        <v>132.91999999999999</v>
      </c>
    </row>
    <row r="16" spans="2:7" x14ac:dyDescent="0.25">
      <c r="B16" s="106">
        <v>1.24</v>
      </c>
      <c r="E16" s="106">
        <v>20.73</v>
      </c>
      <c r="G16" s="106">
        <v>131.33000000000001</v>
      </c>
    </row>
    <row r="17" spans="2:7" x14ac:dyDescent="0.25">
      <c r="B17" s="106">
        <v>2</v>
      </c>
      <c r="E17" s="106">
        <v>55.24</v>
      </c>
      <c r="G17" s="131">
        <f>SUM(G4:G16)</f>
        <v>559.76</v>
      </c>
    </row>
    <row r="18" spans="2:7" x14ac:dyDescent="0.25">
      <c r="B18" s="106">
        <v>0.9</v>
      </c>
      <c r="E18" s="106">
        <v>34.4</v>
      </c>
    </row>
    <row r="19" spans="2:7" x14ac:dyDescent="0.25">
      <c r="B19" s="106">
        <v>0.15</v>
      </c>
      <c r="E19" s="106">
        <v>46.55</v>
      </c>
    </row>
    <row r="20" spans="2:7" x14ac:dyDescent="0.25">
      <c r="B20" s="106">
        <v>1.7</v>
      </c>
      <c r="E20" s="106">
        <v>51.24</v>
      </c>
      <c r="G20" s="132">
        <f>G17+E31</f>
        <v>1592.2</v>
      </c>
    </row>
    <row r="21" spans="2:7" x14ac:dyDescent="0.25">
      <c r="B21" s="106">
        <v>0.15</v>
      </c>
      <c r="E21" s="106">
        <v>19.059999999999999</v>
      </c>
    </row>
    <row r="22" spans="2:7" x14ac:dyDescent="0.25">
      <c r="B22" s="106">
        <v>0.05</v>
      </c>
      <c r="E22" s="106">
        <v>11.77</v>
      </c>
    </row>
    <row r="23" spans="2:7" x14ac:dyDescent="0.25">
      <c r="B23" s="106">
        <v>1.68</v>
      </c>
      <c r="E23" s="106">
        <v>42.71</v>
      </c>
    </row>
    <row r="24" spans="2:7" x14ac:dyDescent="0.25">
      <c r="B24" s="106">
        <v>0.17</v>
      </c>
      <c r="E24" s="106">
        <v>18.36</v>
      </c>
    </row>
    <row r="25" spans="2:7" x14ac:dyDescent="0.25">
      <c r="B25" s="106">
        <v>1.37</v>
      </c>
      <c r="E25" s="106">
        <v>42.82</v>
      </c>
    </row>
    <row r="26" spans="2:7" x14ac:dyDescent="0.25">
      <c r="B26" s="106">
        <f>SUM(B4:B25)</f>
        <v>25.58</v>
      </c>
      <c r="E26" s="106">
        <v>18.36</v>
      </c>
    </row>
    <row r="27" spans="2:7" x14ac:dyDescent="0.25">
      <c r="E27" s="106">
        <v>52.43</v>
      </c>
    </row>
    <row r="28" spans="2:7" x14ac:dyDescent="0.25">
      <c r="E28" s="106">
        <v>42.77</v>
      </c>
    </row>
    <row r="29" spans="2:7" x14ac:dyDescent="0.25">
      <c r="E29" s="106">
        <v>26.51</v>
      </c>
    </row>
    <row r="30" spans="2:7" x14ac:dyDescent="0.25">
      <c r="E30" s="106">
        <v>26.51</v>
      </c>
    </row>
    <row r="31" spans="2:7" x14ac:dyDescent="0.25">
      <c r="E31" s="131">
        <f>SUM(E4:E30)</f>
        <v>1032.44</v>
      </c>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78FCC-26CD-40A4-8F00-7FDBFDEE31D0}">
  <sheetPr>
    <pageSetUpPr fitToPage="1"/>
  </sheetPr>
  <dimension ref="A2:L245"/>
  <sheetViews>
    <sheetView topLeftCell="A53" zoomScaleNormal="100" zoomScaleSheetLayoutView="55" workbookViewId="0">
      <selection activeCell="F55" sqref="F55:F67"/>
    </sheetView>
  </sheetViews>
  <sheetFormatPr defaultColWidth="9.140625" defaultRowHeight="15" x14ac:dyDescent="0.25"/>
  <cols>
    <col min="1" max="1" width="9.140625" style="164"/>
    <col min="2" max="2" width="8" style="164" customWidth="1"/>
    <col min="3" max="3" width="8.7109375" style="164" customWidth="1"/>
    <col min="4" max="4" width="53.85546875" style="165" customWidth="1"/>
    <col min="5" max="5" width="36.140625" style="255" customWidth="1"/>
    <col min="6" max="6" width="26.7109375" style="256" customWidth="1"/>
    <col min="7" max="7" width="10.28515625" style="163" customWidth="1"/>
    <col min="8" max="8" width="10.7109375" style="169" customWidth="1"/>
    <col min="9" max="9" width="13.7109375" style="166" customWidth="1"/>
    <col min="10" max="10" width="15.7109375" style="287" customWidth="1"/>
    <col min="11" max="16384" width="9.140625" style="164"/>
  </cols>
  <sheetData>
    <row r="2" spans="2:10" ht="90" customHeight="1" x14ac:dyDescent="0.25">
      <c r="B2" s="419" t="s">
        <v>779</v>
      </c>
      <c r="C2" s="397"/>
      <c r="D2" s="397"/>
      <c r="E2" s="397"/>
      <c r="F2" s="397"/>
      <c r="G2" s="397"/>
      <c r="H2" s="397"/>
      <c r="I2" s="397"/>
      <c r="J2" s="398"/>
    </row>
    <row r="3" spans="2:10" x14ac:dyDescent="0.25">
      <c r="B3" s="39" t="s">
        <v>239</v>
      </c>
      <c r="C3" s="420" t="s">
        <v>243</v>
      </c>
      <c r="D3" s="421"/>
      <c r="E3" s="421"/>
      <c r="F3" s="421"/>
      <c r="G3" s="421"/>
      <c r="H3" s="421"/>
      <c r="I3" s="421"/>
      <c r="J3" s="422"/>
    </row>
    <row r="4" spans="2:10" x14ac:dyDescent="0.25">
      <c r="B4" s="39" t="s">
        <v>240</v>
      </c>
      <c r="C4" s="423" t="s">
        <v>236</v>
      </c>
      <c r="D4" s="424"/>
      <c r="E4" s="424"/>
      <c r="F4" s="425"/>
      <c r="G4" s="40" t="s">
        <v>238</v>
      </c>
      <c r="H4" s="167" t="s">
        <v>246</v>
      </c>
      <c r="I4" s="426" t="s">
        <v>237</v>
      </c>
      <c r="J4" s="427"/>
    </row>
    <row r="5" spans="2:10" x14ac:dyDescent="0.25">
      <c r="B5" s="39" t="s">
        <v>242</v>
      </c>
      <c r="C5" s="420" t="s">
        <v>0</v>
      </c>
      <c r="D5" s="421"/>
      <c r="E5" s="421"/>
      <c r="F5" s="422"/>
      <c r="G5" s="41" t="s">
        <v>1</v>
      </c>
      <c r="H5" s="162">
        <f>BDI!D20</f>
        <v>0.27860000000000001</v>
      </c>
      <c r="I5" s="428" t="s">
        <v>980</v>
      </c>
      <c r="J5" s="429"/>
    </row>
    <row r="6" spans="2:10" x14ac:dyDescent="0.25">
      <c r="B6" s="39" t="s">
        <v>241</v>
      </c>
      <c r="C6" s="432" t="str">
        <f>'PLANILHA ORÇAMENTÁRIA'!I461</f>
        <v>ARIPUANÃ - MT, 04 de Abril de 2023.</v>
      </c>
      <c r="D6" s="433"/>
      <c r="E6" s="433"/>
      <c r="F6" s="434"/>
      <c r="G6" s="41" t="s">
        <v>2</v>
      </c>
      <c r="H6" s="254">
        <v>44403</v>
      </c>
      <c r="I6" s="430"/>
      <c r="J6" s="431"/>
    </row>
    <row r="7" spans="2:10" ht="19.899999999999999" customHeight="1" thickBot="1" x14ac:dyDescent="0.3">
      <c r="B7" s="435" t="s">
        <v>834</v>
      </c>
      <c r="C7" s="436"/>
      <c r="D7" s="436"/>
      <c r="E7" s="436"/>
      <c r="F7" s="436"/>
      <c r="G7" s="436"/>
      <c r="H7" s="436"/>
      <c r="I7" s="436"/>
      <c r="J7" s="437"/>
    </row>
    <row r="8" spans="2:10" ht="15.75" thickTop="1" x14ac:dyDescent="0.25">
      <c r="B8" s="239" t="s">
        <v>3</v>
      </c>
      <c r="C8" s="239" t="s">
        <v>833</v>
      </c>
      <c r="D8" s="18" t="s">
        <v>234</v>
      </c>
      <c r="E8" s="18" t="s">
        <v>1434</v>
      </c>
      <c r="F8" s="18" t="s">
        <v>1435</v>
      </c>
      <c r="G8" s="18" t="s">
        <v>36</v>
      </c>
      <c r="H8" s="252" t="s">
        <v>37</v>
      </c>
      <c r="I8" s="253" t="s">
        <v>832</v>
      </c>
      <c r="J8" s="253" t="s">
        <v>835</v>
      </c>
    </row>
    <row r="9" spans="2:10" ht="25.5" x14ac:dyDescent="0.25">
      <c r="B9" s="410">
        <v>1</v>
      </c>
      <c r="C9" s="410" t="s">
        <v>829</v>
      </c>
      <c r="D9" s="438" t="s">
        <v>798</v>
      </c>
      <c r="E9" s="307" t="s">
        <v>1765</v>
      </c>
      <c r="F9" s="257" t="s">
        <v>1766</v>
      </c>
      <c r="G9" s="258" t="s">
        <v>309</v>
      </c>
      <c r="H9" s="259">
        <v>1</v>
      </c>
      <c r="I9" s="260">
        <v>1.74</v>
      </c>
      <c r="J9" s="416">
        <f>MEDIAN(I9:I11)</f>
        <v>1.74</v>
      </c>
    </row>
    <row r="10" spans="2:10" ht="38.25" x14ac:dyDescent="0.25">
      <c r="B10" s="410"/>
      <c r="C10" s="410"/>
      <c r="D10" s="438"/>
      <c r="E10" s="307" t="s">
        <v>1246</v>
      </c>
      <c r="F10" s="257" t="s">
        <v>1445</v>
      </c>
      <c r="G10" s="258" t="s">
        <v>309</v>
      </c>
      <c r="H10" s="259">
        <v>1</v>
      </c>
      <c r="I10" s="260">
        <v>2.4900000000000002</v>
      </c>
      <c r="J10" s="416"/>
    </row>
    <row r="11" spans="2:10" ht="38.25" x14ac:dyDescent="0.25">
      <c r="B11" s="410"/>
      <c r="C11" s="410"/>
      <c r="D11" s="438"/>
      <c r="E11" s="307" t="s">
        <v>1247</v>
      </c>
      <c r="F11" s="257" t="s">
        <v>1446</v>
      </c>
      <c r="G11" s="258" t="s">
        <v>309</v>
      </c>
      <c r="H11" s="259">
        <v>1</v>
      </c>
      <c r="I11" s="260">
        <v>1.73</v>
      </c>
      <c r="J11" s="416"/>
    </row>
    <row r="12" spans="2:10" ht="25.5" x14ac:dyDescent="0.25">
      <c r="B12" s="407">
        <v>2</v>
      </c>
      <c r="C12" s="407" t="s">
        <v>830</v>
      </c>
      <c r="D12" s="406" t="s">
        <v>1151</v>
      </c>
      <c r="E12" s="308" t="s">
        <v>1768</v>
      </c>
      <c r="F12" s="27" t="s">
        <v>1447</v>
      </c>
      <c r="G12" s="85" t="s">
        <v>248</v>
      </c>
      <c r="H12" s="168">
        <v>1</v>
      </c>
      <c r="I12" s="87">
        <v>7.15</v>
      </c>
      <c r="J12" s="417">
        <f>MEDIAN(I12:I14)</f>
        <v>13</v>
      </c>
    </row>
    <row r="13" spans="2:10" ht="25.5" x14ac:dyDescent="0.25">
      <c r="B13" s="407"/>
      <c r="C13" s="407"/>
      <c r="D13" s="406"/>
      <c r="E13" s="308" t="s">
        <v>1248</v>
      </c>
      <c r="F13" s="27" t="s">
        <v>1449</v>
      </c>
      <c r="G13" s="85" t="s">
        <v>248</v>
      </c>
      <c r="H13" s="168">
        <v>1</v>
      </c>
      <c r="I13" s="87">
        <v>13</v>
      </c>
      <c r="J13" s="417"/>
    </row>
    <row r="14" spans="2:10" ht="38.25" x14ac:dyDescent="0.25">
      <c r="B14" s="407"/>
      <c r="C14" s="407"/>
      <c r="D14" s="406"/>
      <c r="E14" s="308" t="s">
        <v>1767</v>
      </c>
      <c r="F14" s="27" t="s">
        <v>1448</v>
      </c>
      <c r="G14" s="85" t="s">
        <v>248</v>
      </c>
      <c r="H14" s="168">
        <v>1</v>
      </c>
      <c r="I14" s="87">
        <v>24</v>
      </c>
      <c r="J14" s="417"/>
    </row>
    <row r="15" spans="2:10" ht="38.25" x14ac:dyDescent="0.25">
      <c r="B15" s="410">
        <v>3</v>
      </c>
      <c r="C15" s="410" t="s">
        <v>831</v>
      </c>
      <c r="D15" s="411" t="s">
        <v>1167</v>
      </c>
      <c r="E15" s="307" t="s">
        <v>1249</v>
      </c>
      <c r="F15" s="257" t="s">
        <v>1441</v>
      </c>
      <c r="G15" s="258" t="s">
        <v>309</v>
      </c>
      <c r="H15" s="259">
        <v>1</v>
      </c>
      <c r="I15" s="260">
        <v>151.38</v>
      </c>
      <c r="J15" s="416">
        <f t="shared" ref="J15" si="0">MEDIAN(I15:I17)</f>
        <v>115.54</v>
      </c>
    </row>
    <row r="16" spans="2:10" ht="25.5" x14ac:dyDescent="0.25">
      <c r="B16" s="410"/>
      <c r="C16" s="410"/>
      <c r="D16" s="411"/>
      <c r="E16" s="307" t="s">
        <v>1250</v>
      </c>
      <c r="F16" s="257" t="s">
        <v>1451</v>
      </c>
      <c r="G16" s="258" t="s">
        <v>309</v>
      </c>
      <c r="H16" s="259">
        <v>1</v>
      </c>
      <c r="I16" s="260">
        <v>115.54</v>
      </c>
      <c r="J16" s="416"/>
    </row>
    <row r="17" spans="2:12" ht="76.5" x14ac:dyDescent="0.25">
      <c r="B17" s="410"/>
      <c r="C17" s="410"/>
      <c r="D17" s="411"/>
      <c r="E17" s="307" t="s">
        <v>1251</v>
      </c>
      <c r="F17" s="257" t="s">
        <v>1450</v>
      </c>
      <c r="G17" s="258" t="s">
        <v>309</v>
      </c>
      <c r="H17" s="259">
        <v>1</v>
      </c>
      <c r="I17" s="260">
        <v>95.9</v>
      </c>
      <c r="J17" s="416"/>
    </row>
    <row r="18" spans="2:12" ht="35.25" customHeight="1" x14ac:dyDescent="0.25">
      <c r="B18" s="407">
        <v>4</v>
      </c>
      <c r="C18" s="407" t="s">
        <v>836</v>
      </c>
      <c r="D18" s="406" t="s">
        <v>1550</v>
      </c>
      <c r="E18" s="27" t="s">
        <v>1253</v>
      </c>
      <c r="F18" s="27" t="s">
        <v>1252</v>
      </c>
      <c r="G18" s="85" t="s">
        <v>309</v>
      </c>
      <c r="H18" s="168">
        <v>1</v>
      </c>
      <c r="I18" s="87">
        <v>185</v>
      </c>
      <c r="J18" s="417">
        <f t="shared" ref="J18" si="1">MEDIAN(I18:I20)</f>
        <v>325.14999999999998</v>
      </c>
      <c r="L18" s="164" t="s">
        <v>1252</v>
      </c>
    </row>
    <row r="19" spans="2:12" ht="48.75" customHeight="1" x14ac:dyDescent="0.25">
      <c r="B19" s="407"/>
      <c r="C19" s="407"/>
      <c r="D19" s="406"/>
      <c r="E19" s="308" t="s">
        <v>1254</v>
      </c>
      <c r="F19" s="27" t="s">
        <v>1452</v>
      </c>
      <c r="G19" s="85" t="s">
        <v>309</v>
      </c>
      <c r="H19" s="168">
        <v>1</v>
      </c>
      <c r="I19" s="87">
        <v>358.92</v>
      </c>
      <c r="J19" s="417"/>
    </row>
    <row r="20" spans="2:12" ht="55.5" customHeight="1" x14ac:dyDescent="0.25">
      <c r="B20" s="407"/>
      <c r="C20" s="407"/>
      <c r="D20" s="406"/>
      <c r="E20" s="308" t="s">
        <v>1255</v>
      </c>
      <c r="F20" s="27" t="s">
        <v>1453</v>
      </c>
      <c r="G20" s="85" t="s">
        <v>309</v>
      </c>
      <c r="H20" s="168">
        <v>1</v>
      </c>
      <c r="I20" s="87">
        <v>325.14999999999998</v>
      </c>
      <c r="J20" s="417"/>
    </row>
    <row r="21" spans="2:12" ht="38.25" x14ac:dyDescent="0.25">
      <c r="B21" s="410">
        <v>5</v>
      </c>
      <c r="C21" s="410" t="s">
        <v>837</v>
      </c>
      <c r="D21" s="411" t="s">
        <v>1197</v>
      </c>
      <c r="E21" s="307" t="s">
        <v>1256</v>
      </c>
      <c r="F21" s="257" t="s">
        <v>1454</v>
      </c>
      <c r="G21" s="258" t="s">
        <v>309</v>
      </c>
      <c r="H21" s="259">
        <v>1</v>
      </c>
      <c r="I21" s="260">
        <v>142.94999999999999</v>
      </c>
      <c r="J21" s="416">
        <f t="shared" ref="J21" si="2">MEDIAN(I21:I23)</f>
        <v>219</v>
      </c>
    </row>
    <row r="22" spans="2:12" ht="38.25" x14ac:dyDescent="0.25">
      <c r="B22" s="410"/>
      <c r="C22" s="410"/>
      <c r="D22" s="411"/>
      <c r="E22" s="307" t="s">
        <v>1257</v>
      </c>
      <c r="F22" s="257" t="s">
        <v>1455</v>
      </c>
      <c r="G22" s="258" t="s">
        <v>309</v>
      </c>
      <c r="H22" s="259">
        <v>1</v>
      </c>
      <c r="I22" s="260">
        <v>219</v>
      </c>
      <c r="J22" s="416"/>
    </row>
    <row r="23" spans="2:12" ht="89.25" x14ac:dyDescent="0.25">
      <c r="B23" s="410"/>
      <c r="C23" s="410"/>
      <c r="D23" s="411"/>
      <c r="E23" s="307" t="s">
        <v>1258</v>
      </c>
      <c r="F23" s="257" t="s">
        <v>1456</v>
      </c>
      <c r="G23" s="258" t="s">
        <v>309</v>
      </c>
      <c r="H23" s="259">
        <v>1</v>
      </c>
      <c r="I23" s="260">
        <v>716.57</v>
      </c>
      <c r="J23" s="416"/>
    </row>
    <row r="24" spans="2:12" ht="38.25" x14ac:dyDescent="0.25">
      <c r="B24" s="407">
        <v>6</v>
      </c>
      <c r="C24" s="407" t="s">
        <v>838</v>
      </c>
      <c r="D24" s="406" t="s">
        <v>1225</v>
      </c>
      <c r="E24" s="308" t="s">
        <v>1259</v>
      </c>
      <c r="F24" s="27" t="s">
        <v>1441</v>
      </c>
      <c r="G24" s="85" t="s">
        <v>309</v>
      </c>
      <c r="H24" s="168">
        <v>1</v>
      </c>
      <c r="I24" s="87">
        <v>231</v>
      </c>
      <c r="J24" s="417">
        <f t="shared" ref="J24" si="3">MEDIAN(I24:I26)</f>
        <v>231</v>
      </c>
    </row>
    <row r="25" spans="2:12" ht="75" x14ac:dyDescent="0.25">
      <c r="B25" s="407"/>
      <c r="C25" s="407"/>
      <c r="D25" s="406"/>
      <c r="E25" s="373" t="s">
        <v>1770</v>
      </c>
      <c r="F25" s="288" t="s">
        <v>1771</v>
      </c>
      <c r="G25" s="85" t="s">
        <v>309</v>
      </c>
      <c r="H25" s="168">
        <v>1</v>
      </c>
      <c r="I25" s="87">
        <v>280</v>
      </c>
      <c r="J25" s="417"/>
    </row>
    <row r="26" spans="2:12" ht="76.5" x14ac:dyDescent="0.25">
      <c r="B26" s="407"/>
      <c r="C26" s="407"/>
      <c r="D26" s="406"/>
      <c r="E26" s="308" t="s">
        <v>1260</v>
      </c>
      <c r="F26" s="27" t="s">
        <v>1457</v>
      </c>
      <c r="G26" s="85" t="s">
        <v>309</v>
      </c>
      <c r="H26" s="168">
        <v>1</v>
      </c>
      <c r="I26" s="87">
        <v>154.32</v>
      </c>
      <c r="J26" s="417"/>
    </row>
    <row r="27" spans="2:12" ht="51" x14ac:dyDescent="0.25">
      <c r="B27" s="410">
        <v>7</v>
      </c>
      <c r="C27" s="410" t="s">
        <v>839</v>
      </c>
      <c r="D27" s="411" t="s">
        <v>1229</v>
      </c>
      <c r="E27" s="307" t="s">
        <v>1261</v>
      </c>
      <c r="F27" s="257" t="s">
        <v>1458</v>
      </c>
      <c r="G27" s="258" t="s">
        <v>309</v>
      </c>
      <c r="H27" s="259">
        <v>1</v>
      </c>
      <c r="I27" s="260">
        <v>169.9</v>
      </c>
      <c r="J27" s="416">
        <f t="shared" ref="J27" si="4">MEDIAN(I27:I29)</f>
        <v>227.56</v>
      </c>
    </row>
    <row r="28" spans="2:12" x14ac:dyDescent="0.25">
      <c r="B28" s="410"/>
      <c r="C28" s="410"/>
      <c r="D28" s="411"/>
      <c r="E28" s="307" t="s">
        <v>1262</v>
      </c>
      <c r="F28" s="288" t="s">
        <v>1459</v>
      </c>
      <c r="G28" s="258" t="s">
        <v>309</v>
      </c>
      <c r="H28" s="259">
        <v>1</v>
      </c>
      <c r="I28" s="260">
        <v>227.56</v>
      </c>
      <c r="J28" s="416"/>
    </row>
    <row r="29" spans="2:12" ht="25.5" x14ac:dyDescent="0.25">
      <c r="B29" s="410"/>
      <c r="C29" s="410"/>
      <c r="D29" s="411"/>
      <c r="E29" s="307" t="s">
        <v>1263</v>
      </c>
      <c r="F29" s="257" t="s">
        <v>1441</v>
      </c>
      <c r="G29" s="258" t="s">
        <v>309</v>
      </c>
      <c r="H29" s="259">
        <v>1</v>
      </c>
      <c r="I29" s="260">
        <v>269.89999999999998</v>
      </c>
      <c r="J29" s="416"/>
    </row>
    <row r="30" spans="2:12" ht="34.9" customHeight="1" x14ac:dyDescent="0.25">
      <c r="B30" s="407">
        <v>8</v>
      </c>
      <c r="C30" s="407" t="s">
        <v>840</v>
      </c>
      <c r="D30" s="406" t="s">
        <v>1242</v>
      </c>
      <c r="E30" s="27" t="s">
        <v>1532</v>
      </c>
      <c r="F30" s="27" t="s">
        <v>1558</v>
      </c>
      <c r="G30" s="284" t="s">
        <v>309</v>
      </c>
      <c r="H30" s="285">
        <v>1</v>
      </c>
      <c r="I30" s="286">
        <v>409.99</v>
      </c>
      <c r="J30" s="417">
        <f t="shared" ref="J30" si="5">MEDIAN(I30:I32)</f>
        <v>462</v>
      </c>
    </row>
    <row r="31" spans="2:12" ht="27" customHeight="1" x14ac:dyDescent="0.25">
      <c r="B31" s="407"/>
      <c r="C31" s="407"/>
      <c r="D31" s="406"/>
      <c r="E31" s="306" t="s">
        <v>1523</v>
      </c>
      <c r="F31" s="372" t="s">
        <v>1551</v>
      </c>
      <c r="G31" s="284" t="s">
        <v>309</v>
      </c>
      <c r="H31" s="285">
        <v>1</v>
      </c>
      <c r="I31" s="286">
        <v>602.24</v>
      </c>
      <c r="J31" s="417"/>
    </row>
    <row r="32" spans="2:12" ht="45" customHeight="1" x14ac:dyDescent="0.25">
      <c r="B32" s="407"/>
      <c r="C32" s="407"/>
      <c r="D32" s="406"/>
      <c r="E32" s="306" t="s">
        <v>1264</v>
      </c>
      <c r="F32" s="371" t="s">
        <v>1559</v>
      </c>
      <c r="G32" s="284" t="s">
        <v>309</v>
      </c>
      <c r="H32" s="285">
        <v>1</v>
      </c>
      <c r="I32" s="286">
        <v>462</v>
      </c>
      <c r="J32" s="417"/>
    </row>
    <row r="33" spans="1:12" ht="34.9" customHeight="1" x14ac:dyDescent="0.25">
      <c r="B33" s="418">
        <v>9</v>
      </c>
      <c r="C33" s="410" t="s">
        <v>841</v>
      </c>
      <c r="D33" s="411" t="s">
        <v>1245</v>
      </c>
      <c r="E33" s="257" t="s">
        <v>1532</v>
      </c>
      <c r="F33" s="257" t="s">
        <v>1558</v>
      </c>
      <c r="G33" s="258" t="s">
        <v>309</v>
      </c>
      <c r="H33" s="259">
        <v>1</v>
      </c>
      <c r="I33" s="260">
        <v>439.95</v>
      </c>
      <c r="J33" s="416">
        <f t="shared" ref="J33" si="6">MEDIAN(I33:I35)</f>
        <v>439.95</v>
      </c>
    </row>
    <row r="34" spans="1:12" ht="34.9" customHeight="1" x14ac:dyDescent="0.25">
      <c r="B34" s="418"/>
      <c r="C34" s="410"/>
      <c r="D34" s="411"/>
      <c r="E34" s="307" t="s">
        <v>1523</v>
      </c>
      <c r="F34" s="258" t="s">
        <v>1551</v>
      </c>
      <c r="G34" s="258" t="s">
        <v>309</v>
      </c>
      <c r="H34" s="259">
        <v>1</v>
      </c>
      <c r="I34" s="260">
        <v>965.77</v>
      </c>
      <c r="J34" s="416"/>
    </row>
    <row r="35" spans="1:12" ht="34.9" customHeight="1" x14ac:dyDescent="0.25">
      <c r="A35" s="164" t="s">
        <v>975</v>
      </c>
      <c r="B35" s="418"/>
      <c r="C35" s="410"/>
      <c r="D35" s="411"/>
      <c r="E35" s="307" t="s">
        <v>1524</v>
      </c>
      <c r="F35" s="257" t="s">
        <v>1559</v>
      </c>
      <c r="G35" s="258" t="s">
        <v>309</v>
      </c>
      <c r="H35" s="259">
        <v>1</v>
      </c>
      <c r="I35" s="260">
        <v>299.89999999999998</v>
      </c>
      <c r="J35" s="416"/>
    </row>
    <row r="36" spans="1:12" ht="25.5" x14ac:dyDescent="0.25">
      <c r="B36" s="407">
        <v>10</v>
      </c>
      <c r="C36" s="407" t="s">
        <v>1552</v>
      </c>
      <c r="D36" s="406" t="s">
        <v>1473</v>
      </c>
      <c r="E36" s="27" t="s">
        <v>1532</v>
      </c>
      <c r="F36" s="371" t="s">
        <v>1558</v>
      </c>
      <c r="G36" s="284" t="s">
        <v>309</v>
      </c>
      <c r="H36" s="285">
        <v>1</v>
      </c>
      <c r="I36" s="286">
        <v>84.95</v>
      </c>
      <c r="J36" s="417">
        <f t="shared" ref="J36" si="7">MEDIAN(I36:I38)</f>
        <v>151.97</v>
      </c>
      <c r="L36"/>
    </row>
    <row r="37" spans="1:12" ht="76.5" x14ac:dyDescent="0.25">
      <c r="B37" s="407"/>
      <c r="C37" s="407"/>
      <c r="D37" s="406"/>
      <c r="E37" s="306" t="s">
        <v>1525</v>
      </c>
      <c r="F37" s="85" t="s">
        <v>1560</v>
      </c>
      <c r="G37" s="284" t="s">
        <v>309</v>
      </c>
      <c r="H37" s="285">
        <v>1</v>
      </c>
      <c r="I37" s="286">
        <v>313.92</v>
      </c>
      <c r="J37" s="417"/>
      <c r="L37"/>
    </row>
    <row r="38" spans="1:12" ht="25.5" x14ac:dyDescent="0.25">
      <c r="B38" s="407"/>
      <c r="C38" s="407"/>
      <c r="D38" s="406"/>
      <c r="E38" s="306" t="s">
        <v>1526</v>
      </c>
      <c r="F38" s="27" t="s">
        <v>1561</v>
      </c>
      <c r="G38" s="284" t="s">
        <v>309</v>
      </c>
      <c r="H38" s="285">
        <v>1</v>
      </c>
      <c r="I38" s="286">
        <v>151.97</v>
      </c>
      <c r="J38" s="417"/>
      <c r="L38"/>
    </row>
    <row r="39" spans="1:12" ht="25.5" x14ac:dyDescent="0.25">
      <c r="B39" s="410">
        <v>11</v>
      </c>
      <c r="C39" s="410" t="s">
        <v>1553</v>
      </c>
      <c r="D39" s="411" t="s">
        <v>1527</v>
      </c>
      <c r="E39" s="258" t="s">
        <v>1528</v>
      </c>
      <c r="F39" s="371" t="s">
        <v>1562</v>
      </c>
      <c r="G39" s="258" t="s">
        <v>248</v>
      </c>
      <c r="H39" s="259">
        <v>1</v>
      </c>
      <c r="I39" s="260">
        <v>27.98</v>
      </c>
      <c r="J39" s="416">
        <f t="shared" ref="J39" si="8">MEDIAN(I39:I41)</f>
        <v>58.95</v>
      </c>
    </row>
    <row r="40" spans="1:12" x14ac:dyDescent="0.25">
      <c r="B40" s="410"/>
      <c r="C40" s="410"/>
      <c r="D40" s="411"/>
      <c r="E40" s="307" t="s">
        <v>1529</v>
      </c>
      <c r="F40" s="258" t="s">
        <v>1618</v>
      </c>
      <c r="G40" s="258" t="s">
        <v>248</v>
      </c>
      <c r="H40" s="259">
        <v>1</v>
      </c>
      <c r="I40" s="260">
        <v>58.95</v>
      </c>
      <c r="J40" s="416"/>
    </row>
    <row r="41" spans="1:12" ht="25.5" x14ac:dyDescent="0.25">
      <c r="B41" s="410"/>
      <c r="C41" s="410"/>
      <c r="D41" s="411"/>
      <c r="E41" s="307" t="s">
        <v>1530</v>
      </c>
      <c r="F41" s="258" t="s">
        <v>1563</v>
      </c>
      <c r="G41" s="258" t="s">
        <v>248</v>
      </c>
      <c r="H41" s="259">
        <v>1</v>
      </c>
      <c r="I41" s="260">
        <v>78.900000000000006</v>
      </c>
      <c r="J41" s="416"/>
    </row>
    <row r="42" spans="1:12" ht="25.5" x14ac:dyDescent="0.25">
      <c r="B42" s="407">
        <v>12</v>
      </c>
      <c r="C42" s="407" t="s">
        <v>1554</v>
      </c>
      <c r="D42" s="406" t="s">
        <v>1531</v>
      </c>
      <c r="E42" s="27" t="s">
        <v>1532</v>
      </c>
      <c r="F42" s="371" t="s">
        <v>1558</v>
      </c>
      <c r="G42" s="85" t="s">
        <v>248</v>
      </c>
      <c r="H42" s="168">
        <v>1</v>
      </c>
      <c r="I42" s="87">
        <v>93.3</v>
      </c>
      <c r="J42" s="417">
        <f t="shared" ref="J42" si="9">MEDIAN(I42:I44)</f>
        <v>89.95</v>
      </c>
    </row>
    <row r="43" spans="1:12" ht="25.5" x14ac:dyDescent="0.25">
      <c r="B43" s="407"/>
      <c r="C43" s="407"/>
      <c r="D43" s="406"/>
      <c r="E43" s="27" t="s">
        <v>1528</v>
      </c>
      <c r="F43" s="371" t="s">
        <v>1562</v>
      </c>
      <c r="G43" s="85" t="s">
        <v>248</v>
      </c>
      <c r="H43" s="168">
        <v>1</v>
      </c>
      <c r="I43" s="87">
        <v>34.04</v>
      </c>
      <c r="J43" s="417"/>
    </row>
    <row r="44" spans="1:12" ht="25.5" x14ac:dyDescent="0.25">
      <c r="B44" s="407"/>
      <c r="C44" s="407"/>
      <c r="D44" s="406"/>
      <c r="E44" s="306" t="s">
        <v>1530</v>
      </c>
      <c r="F44" s="85" t="s">
        <v>1563</v>
      </c>
      <c r="G44" s="85" t="s">
        <v>248</v>
      </c>
      <c r="H44" s="168">
        <v>1</v>
      </c>
      <c r="I44" s="87">
        <v>89.95</v>
      </c>
      <c r="J44" s="417"/>
    </row>
    <row r="45" spans="1:12" ht="25.5" x14ac:dyDescent="0.25">
      <c r="B45" s="410">
        <v>13</v>
      </c>
      <c r="C45" s="410" t="s">
        <v>1555</v>
      </c>
      <c r="D45" s="411" t="s">
        <v>1533</v>
      </c>
      <c r="E45" s="307" t="s">
        <v>1530</v>
      </c>
      <c r="F45" s="258" t="s">
        <v>1563</v>
      </c>
      <c r="G45" s="258" t="s">
        <v>309</v>
      </c>
      <c r="H45" s="259">
        <v>1</v>
      </c>
      <c r="I45" s="260">
        <v>4.8</v>
      </c>
      <c r="J45" s="416">
        <f t="shared" ref="J45" si="10">MEDIAN(I45:I47)</f>
        <v>4.8</v>
      </c>
    </row>
    <row r="46" spans="1:12" x14ac:dyDescent="0.25">
      <c r="B46" s="410"/>
      <c r="C46" s="410"/>
      <c r="D46" s="411"/>
      <c r="E46" s="307" t="s">
        <v>1529</v>
      </c>
      <c r="F46" s="258" t="s">
        <v>1618</v>
      </c>
      <c r="G46" s="258" t="s">
        <v>309</v>
      </c>
      <c r="H46" s="259">
        <v>1</v>
      </c>
      <c r="I46" s="260">
        <v>6.51</v>
      </c>
      <c r="J46" s="416"/>
    </row>
    <row r="47" spans="1:12" ht="25.5" x14ac:dyDescent="0.25">
      <c r="B47" s="410"/>
      <c r="C47" s="410"/>
      <c r="D47" s="411"/>
      <c r="E47" s="257" t="s">
        <v>1528</v>
      </c>
      <c r="F47" s="371" t="s">
        <v>1562</v>
      </c>
      <c r="G47" s="258" t="s">
        <v>309</v>
      </c>
      <c r="H47" s="259">
        <v>1</v>
      </c>
      <c r="I47" s="260">
        <v>2.9</v>
      </c>
      <c r="J47" s="416"/>
    </row>
    <row r="48" spans="1:12" ht="25.5" x14ac:dyDescent="0.25">
      <c r="B48" s="407">
        <v>14</v>
      </c>
      <c r="C48" s="439" t="s">
        <v>1556</v>
      </c>
      <c r="D48" s="440" t="s">
        <v>1534</v>
      </c>
      <c r="E48" s="309" t="s">
        <v>1530</v>
      </c>
      <c r="F48" s="284" t="s">
        <v>1563</v>
      </c>
      <c r="G48" s="284" t="s">
        <v>309</v>
      </c>
      <c r="H48" s="285">
        <v>1</v>
      </c>
      <c r="I48" s="286">
        <v>6.9</v>
      </c>
      <c r="J48" s="417">
        <f t="shared" ref="J48" si="11">MEDIAN(I48:I50)</f>
        <v>6.9</v>
      </c>
    </row>
    <row r="49" spans="1:10" x14ac:dyDescent="0.25">
      <c r="B49" s="407"/>
      <c r="C49" s="439"/>
      <c r="D49" s="440"/>
      <c r="E49" s="309" t="s">
        <v>1529</v>
      </c>
      <c r="F49" s="284" t="s">
        <v>1618</v>
      </c>
      <c r="G49" s="284" t="s">
        <v>309</v>
      </c>
      <c r="H49" s="285">
        <v>1</v>
      </c>
      <c r="I49" s="286">
        <v>7.86</v>
      </c>
      <c r="J49" s="417"/>
    </row>
    <row r="50" spans="1:10" ht="25.5" x14ac:dyDescent="0.25">
      <c r="B50" s="407"/>
      <c r="C50" s="439"/>
      <c r="D50" s="440"/>
      <c r="E50" s="288" t="s">
        <v>1528</v>
      </c>
      <c r="F50" s="371" t="s">
        <v>1562</v>
      </c>
      <c r="G50" s="284" t="s">
        <v>309</v>
      </c>
      <c r="H50" s="285">
        <v>1</v>
      </c>
      <c r="I50" s="286">
        <v>3.5</v>
      </c>
      <c r="J50" s="417"/>
    </row>
    <row r="51" spans="1:10" ht="25.5" x14ac:dyDescent="0.25">
      <c r="B51" s="410">
        <v>15</v>
      </c>
      <c r="C51" s="410" t="s">
        <v>1557</v>
      </c>
      <c r="D51" s="411" t="s">
        <v>1027</v>
      </c>
      <c r="E51" s="307" t="s">
        <v>1530</v>
      </c>
      <c r="F51" s="258" t="s">
        <v>1563</v>
      </c>
      <c r="G51" s="258" t="s">
        <v>309</v>
      </c>
      <c r="H51" s="259">
        <v>1</v>
      </c>
      <c r="I51" s="260">
        <v>1.6</v>
      </c>
      <c r="J51" s="416">
        <f>MEDIAN(I51:I53)</f>
        <v>1.6</v>
      </c>
    </row>
    <row r="52" spans="1:10" x14ac:dyDescent="0.25">
      <c r="B52" s="410"/>
      <c r="C52" s="410"/>
      <c r="D52" s="411"/>
      <c r="E52" s="307" t="s">
        <v>1529</v>
      </c>
      <c r="F52" s="258" t="s">
        <v>1618</v>
      </c>
      <c r="G52" s="258" t="s">
        <v>309</v>
      </c>
      <c r="H52" s="259">
        <v>1</v>
      </c>
      <c r="I52" s="260">
        <v>1.59</v>
      </c>
      <c r="J52" s="416"/>
    </row>
    <row r="53" spans="1:10" x14ac:dyDescent="0.25">
      <c r="B53" s="410"/>
      <c r="C53" s="410"/>
      <c r="D53" s="411"/>
      <c r="E53" s="257"/>
      <c r="F53" s="258"/>
      <c r="G53" s="258" t="s">
        <v>309</v>
      </c>
      <c r="H53" s="259">
        <v>1</v>
      </c>
      <c r="I53" s="260"/>
      <c r="J53" s="416"/>
    </row>
    <row r="54" spans="1:10" ht="25.5" x14ac:dyDescent="0.25">
      <c r="B54" s="407">
        <v>16</v>
      </c>
      <c r="C54" s="439" t="s">
        <v>842</v>
      </c>
      <c r="D54" s="441" t="s">
        <v>1535</v>
      </c>
      <c r="E54" s="309" t="s">
        <v>1530</v>
      </c>
      <c r="F54" s="284" t="s">
        <v>1563</v>
      </c>
      <c r="G54" s="284" t="s">
        <v>309</v>
      </c>
      <c r="H54" s="285">
        <v>1</v>
      </c>
      <c r="I54" s="286">
        <v>59.95</v>
      </c>
      <c r="J54" s="417">
        <f>MEDIAN(I54:I56)</f>
        <v>38.28</v>
      </c>
    </row>
    <row r="55" spans="1:10" ht="25.5" x14ac:dyDescent="0.25">
      <c r="B55" s="407"/>
      <c r="C55" s="439"/>
      <c r="D55" s="441"/>
      <c r="E55" s="27" t="s">
        <v>1532</v>
      </c>
      <c r="F55" s="371" t="s">
        <v>1558</v>
      </c>
      <c r="G55" s="284" t="s">
        <v>309</v>
      </c>
      <c r="H55" s="285">
        <v>1</v>
      </c>
      <c r="I55" s="286">
        <v>38.28</v>
      </c>
      <c r="J55" s="417"/>
    </row>
    <row r="56" spans="1:10" ht="25.5" x14ac:dyDescent="0.25">
      <c r="B56" s="407"/>
      <c r="C56" s="439"/>
      <c r="D56" s="441"/>
      <c r="E56" s="288" t="s">
        <v>1528</v>
      </c>
      <c r="F56" s="371" t="s">
        <v>1562</v>
      </c>
      <c r="G56" s="284" t="s">
        <v>309</v>
      </c>
      <c r="H56" s="285">
        <v>1</v>
      </c>
      <c r="I56" s="286">
        <v>19.11</v>
      </c>
      <c r="J56" s="417"/>
    </row>
    <row r="57" spans="1:10" ht="25.5" x14ac:dyDescent="0.25">
      <c r="A57" s="255"/>
      <c r="B57" s="410">
        <v>17</v>
      </c>
      <c r="C57" s="410" t="s">
        <v>843</v>
      </c>
      <c r="D57" s="411" t="s">
        <v>1536</v>
      </c>
      <c r="E57" s="307" t="s">
        <v>1530</v>
      </c>
      <c r="F57" s="258" t="s">
        <v>1563</v>
      </c>
      <c r="G57" s="258" t="s">
        <v>309</v>
      </c>
      <c r="H57" s="259">
        <v>1</v>
      </c>
      <c r="I57" s="260">
        <v>52.4</v>
      </c>
      <c r="J57" s="416">
        <f t="shared" ref="J57" si="12">MEDIAN(I57:I59)</f>
        <v>52.4</v>
      </c>
    </row>
    <row r="58" spans="1:10" x14ac:dyDescent="0.25">
      <c r="A58" s="255"/>
      <c r="B58" s="410"/>
      <c r="C58" s="410"/>
      <c r="D58" s="411"/>
      <c r="E58" s="307" t="s">
        <v>1529</v>
      </c>
      <c r="F58" s="258" t="s">
        <v>1618</v>
      </c>
      <c r="G58" s="258" t="s">
        <v>309</v>
      </c>
      <c r="H58" s="259">
        <v>1</v>
      </c>
      <c r="I58" s="260">
        <v>60.57</v>
      </c>
      <c r="J58" s="416"/>
    </row>
    <row r="59" spans="1:10" ht="25.5" x14ac:dyDescent="0.25">
      <c r="A59" s="255"/>
      <c r="B59" s="410"/>
      <c r="C59" s="410"/>
      <c r="D59" s="411"/>
      <c r="E59" s="257" t="s">
        <v>1528</v>
      </c>
      <c r="F59" s="371" t="s">
        <v>1562</v>
      </c>
      <c r="G59" s="258" t="s">
        <v>309</v>
      </c>
      <c r="H59" s="259">
        <v>1</v>
      </c>
      <c r="I59" s="260">
        <v>42</v>
      </c>
      <c r="J59" s="416"/>
    </row>
    <row r="60" spans="1:10" ht="25.5" x14ac:dyDescent="0.25">
      <c r="A60" s="255"/>
      <c r="B60" s="407">
        <v>18</v>
      </c>
      <c r="C60" s="407" t="s">
        <v>844</v>
      </c>
      <c r="D60" s="406" t="s">
        <v>1537</v>
      </c>
      <c r="E60" s="306" t="s">
        <v>1530</v>
      </c>
      <c r="F60" s="85" t="s">
        <v>1563</v>
      </c>
      <c r="G60" s="284" t="s">
        <v>309</v>
      </c>
      <c r="H60" s="285">
        <v>1</v>
      </c>
      <c r="I60" s="286">
        <v>30.7</v>
      </c>
      <c r="J60" s="417">
        <f t="shared" ref="J60" si="13">MEDIAN(I60:I62)</f>
        <v>30.7</v>
      </c>
    </row>
    <row r="61" spans="1:10" x14ac:dyDescent="0.25">
      <c r="A61" s="255"/>
      <c r="B61" s="407"/>
      <c r="C61" s="407"/>
      <c r="D61" s="406"/>
      <c r="E61" s="306" t="s">
        <v>1529</v>
      </c>
      <c r="F61" s="85" t="s">
        <v>1618</v>
      </c>
      <c r="G61" s="284" t="s">
        <v>309</v>
      </c>
      <c r="H61" s="285">
        <v>1</v>
      </c>
      <c r="I61" s="286">
        <v>36.49</v>
      </c>
      <c r="J61" s="417"/>
    </row>
    <row r="62" spans="1:10" ht="25.5" x14ac:dyDescent="0.25">
      <c r="A62" s="255"/>
      <c r="B62" s="407"/>
      <c r="C62" s="407"/>
      <c r="D62" s="406"/>
      <c r="E62" s="288" t="s">
        <v>1528</v>
      </c>
      <c r="F62" s="371" t="s">
        <v>1562</v>
      </c>
      <c r="G62" s="284" t="s">
        <v>309</v>
      </c>
      <c r="H62" s="285">
        <v>1</v>
      </c>
      <c r="I62" s="286">
        <v>25</v>
      </c>
      <c r="J62" s="417"/>
    </row>
    <row r="63" spans="1:10" ht="25.5" x14ac:dyDescent="0.25">
      <c r="A63" s="255"/>
      <c r="B63" s="410">
        <v>19</v>
      </c>
      <c r="C63" s="410" t="s">
        <v>845</v>
      </c>
      <c r="D63" s="411" t="s">
        <v>1519</v>
      </c>
      <c r="E63" s="307" t="s">
        <v>1530</v>
      </c>
      <c r="F63" s="258" t="s">
        <v>1563</v>
      </c>
      <c r="G63" s="258" t="s">
        <v>309</v>
      </c>
      <c r="H63" s="259">
        <v>1</v>
      </c>
      <c r="I63" s="260">
        <v>39.5</v>
      </c>
      <c r="J63" s="416">
        <f t="shared" ref="J63" si="14">MEDIAN(I63:I65)</f>
        <v>39.5</v>
      </c>
    </row>
    <row r="64" spans="1:10" x14ac:dyDescent="0.25">
      <c r="A64" s="255"/>
      <c r="B64" s="410"/>
      <c r="C64" s="410"/>
      <c r="D64" s="411"/>
      <c r="E64" s="307" t="s">
        <v>1529</v>
      </c>
      <c r="F64" s="258" t="s">
        <v>1618</v>
      </c>
      <c r="G64" s="258" t="s">
        <v>309</v>
      </c>
      <c r="H64" s="259">
        <v>1</v>
      </c>
      <c r="I64" s="260">
        <v>39.880000000000003</v>
      </c>
      <c r="J64" s="416"/>
    </row>
    <row r="65" spans="1:10" ht="25.5" x14ac:dyDescent="0.25">
      <c r="A65" s="255"/>
      <c r="B65" s="410"/>
      <c r="C65" s="410"/>
      <c r="D65" s="411"/>
      <c r="E65" s="257" t="s">
        <v>1528</v>
      </c>
      <c r="F65" s="371" t="s">
        <v>1562</v>
      </c>
      <c r="G65" s="258" t="s">
        <v>309</v>
      </c>
      <c r="H65" s="259">
        <v>1</v>
      </c>
      <c r="I65" s="260">
        <v>27</v>
      </c>
      <c r="J65" s="416"/>
    </row>
    <row r="66" spans="1:10" ht="64.900000000000006" customHeight="1" x14ac:dyDescent="0.25">
      <c r="A66" s="255"/>
      <c r="B66" s="407">
        <v>20</v>
      </c>
      <c r="C66" s="407" t="s">
        <v>846</v>
      </c>
      <c r="D66" s="406" t="s">
        <v>1521</v>
      </c>
      <c r="E66" s="27" t="s">
        <v>1532</v>
      </c>
      <c r="F66" s="371" t="s">
        <v>1558</v>
      </c>
      <c r="G66" s="284" t="s">
        <v>309</v>
      </c>
      <c r="H66" s="285">
        <v>1</v>
      </c>
      <c r="I66" s="286">
        <v>116.95</v>
      </c>
      <c r="J66" s="417">
        <f t="shared" ref="J66" si="15">MEDIAN(I66:I68)</f>
        <v>98.84</v>
      </c>
    </row>
    <row r="67" spans="1:10" ht="64.900000000000006" customHeight="1" x14ac:dyDescent="0.25">
      <c r="A67" s="255"/>
      <c r="B67" s="407"/>
      <c r="C67" s="407"/>
      <c r="D67" s="406"/>
      <c r="E67" s="306" t="s">
        <v>1523</v>
      </c>
      <c r="F67" s="284" t="s">
        <v>1551</v>
      </c>
      <c r="G67" s="284" t="s">
        <v>309</v>
      </c>
      <c r="H67" s="285">
        <v>1</v>
      </c>
      <c r="I67" s="286">
        <v>80.72</v>
      </c>
      <c r="J67" s="417"/>
    </row>
    <row r="68" spans="1:10" ht="64.900000000000006" customHeight="1" x14ac:dyDescent="0.25">
      <c r="A68" s="255"/>
      <c r="B68" s="407"/>
      <c r="C68" s="407"/>
      <c r="D68" s="406"/>
      <c r="E68" s="306" t="s">
        <v>1538</v>
      </c>
      <c r="F68" s="284" t="s">
        <v>1564</v>
      </c>
      <c r="G68" s="284" t="s">
        <v>309</v>
      </c>
      <c r="H68" s="285">
        <v>1</v>
      </c>
      <c r="I68" s="286" t="s">
        <v>1772</v>
      </c>
      <c r="J68" s="417"/>
    </row>
    <row r="69" spans="1:10" ht="25.5" x14ac:dyDescent="0.25">
      <c r="B69" s="410">
        <v>21</v>
      </c>
      <c r="C69" s="410" t="s">
        <v>1591</v>
      </c>
      <c r="D69" s="411" t="s">
        <v>859</v>
      </c>
      <c r="E69" s="257" t="s">
        <v>863</v>
      </c>
      <c r="F69" s="288" t="s">
        <v>858</v>
      </c>
      <c r="G69" s="258" t="s">
        <v>251</v>
      </c>
      <c r="H69" s="259">
        <v>1</v>
      </c>
      <c r="I69" s="260">
        <v>30</v>
      </c>
      <c r="J69" s="416">
        <f>MEDIAN(I69:I71)</f>
        <v>29.55</v>
      </c>
    </row>
    <row r="70" spans="1:10" x14ac:dyDescent="0.25">
      <c r="B70" s="410"/>
      <c r="C70" s="410"/>
      <c r="D70" s="411"/>
      <c r="E70" s="257" t="s">
        <v>862</v>
      </c>
      <c r="F70" s="288" t="s">
        <v>860</v>
      </c>
      <c r="G70" s="258" t="s">
        <v>251</v>
      </c>
      <c r="H70" s="259">
        <v>1</v>
      </c>
      <c r="I70" s="260">
        <v>15.95</v>
      </c>
      <c r="J70" s="416"/>
    </row>
    <row r="71" spans="1:10" x14ac:dyDescent="0.25">
      <c r="B71" s="410"/>
      <c r="C71" s="410"/>
      <c r="D71" s="411"/>
      <c r="E71" s="257" t="s">
        <v>864</v>
      </c>
      <c r="F71" s="288" t="s">
        <v>861</v>
      </c>
      <c r="G71" s="258" t="s">
        <v>251</v>
      </c>
      <c r="H71" s="259">
        <v>1</v>
      </c>
      <c r="I71" s="260">
        <v>29.55</v>
      </c>
      <c r="J71" s="416"/>
    </row>
    <row r="72" spans="1:10" ht="76.5" x14ac:dyDescent="0.25">
      <c r="B72" s="407">
        <v>22</v>
      </c>
      <c r="C72" s="407" t="s">
        <v>1592</v>
      </c>
      <c r="D72" s="406" t="s">
        <v>326</v>
      </c>
      <c r="E72" s="308" t="s">
        <v>1428</v>
      </c>
      <c r="F72" s="27" t="s">
        <v>1441</v>
      </c>
      <c r="G72" s="85" t="s">
        <v>309</v>
      </c>
      <c r="H72" s="168">
        <v>1</v>
      </c>
      <c r="I72" s="87">
        <v>217.9</v>
      </c>
      <c r="J72" s="417">
        <f>MEDIAN(I72:I74)</f>
        <v>210.37</v>
      </c>
    </row>
    <row r="73" spans="1:10" ht="38.25" x14ac:dyDescent="0.25">
      <c r="B73" s="407"/>
      <c r="C73" s="407"/>
      <c r="D73" s="406"/>
      <c r="E73" s="308" t="s">
        <v>1429</v>
      </c>
      <c r="F73" s="27" t="s">
        <v>1442</v>
      </c>
      <c r="G73" s="85" t="s">
        <v>309</v>
      </c>
      <c r="H73" s="168">
        <v>1</v>
      </c>
      <c r="I73" s="87">
        <v>179.02</v>
      </c>
      <c r="J73" s="417"/>
    </row>
    <row r="74" spans="1:10" ht="38.25" x14ac:dyDescent="0.25">
      <c r="B74" s="407"/>
      <c r="C74" s="407"/>
      <c r="D74" s="406"/>
      <c r="E74" s="308" t="s">
        <v>1430</v>
      </c>
      <c r="F74" s="27" t="s">
        <v>1443</v>
      </c>
      <c r="G74" s="85" t="s">
        <v>309</v>
      </c>
      <c r="H74" s="168">
        <v>1</v>
      </c>
      <c r="I74" s="87">
        <v>210.37</v>
      </c>
      <c r="J74" s="417"/>
    </row>
    <row r="75" spans="1:10" ht="63.75" x14ac:dyDescent="0.25">
      <c r="B75" s="410">
        <v>23</v>
      </c>
      <c r="C75" s="410" t="s">
        <v>1593</v>
      </c>
      <c r="D75" s="411" t="s">
        <v>325</v>
      </c>
      <c r="E75" s="307" t="s">
        <v>1431</v>
      </c>
      <c r="F75" s="257" t="s">
        <v>1441</v>
      </c>
      <c r="G75" s="258" t="s">
        <v>309</v>
      </c>
      <c r="H75" s="259">
        <v>1</v>
      </c>
      <c r="I75" s="260">
        <v>157.9</v>
      </c>
      <c r="J75" s="416">
        <f t="shared" ref="J75" si="16">MEDIAN(I75:I77)</f>
        <v>127.07</v>
      </c>
    </row>
    <row r="76" spans="1:10" ht="38.25" x14ac:dyDescent="0.25">
      <c r="B76" s="410"/>
      <c r="C76" s="410"/>
      <c r="D76" s="411"/>
      <c r="E76" s="307" t="s">
        <v>1432</v>
      </c>
      <c r="F76" s="371" t="s">
        <v>1443</v>
      </c>
      <c r="G76" s="258" t="s">
        <v>309</v>
      </c>
      <c r="H76" s="259">
        <v>1</v>
      </c>
      <c r="I76" s="260">
        <f>101.92+25.15</f>
        <v>127.07</v>
      </c>
      <c r="J76" s="416"/>
    </row>
    <row r="77" spans="1:10" ht="38.25" x14ac:dyDescent="0.25">
      <c r="B77" s="410"/>
      <c r="C77" s="410"/>
      <c r="D77" s="411"/>
      <c r="E77" s="307" t="s">
        <v>1433</v>
      </c>
      <c r="F77" s="257" t="s">
        <v>1442</v>
      </c>
      <c r="G77" s="258" t="s">
        <v>309</v>
      </c>
      <c r="H77" s="259">
        <v>1</v>
      </c>
      <c r="I77" s="260">
        <v>109.19</v>
      </c>
      <c r="J77" s="416"/>
    </row>
    <row r="78" spans="1:10" ht="90" x14ac:dyDescent="0.25">
      <c r="B78" s="407">
        <v>24</v>
      </c>
      <c r="C78" s="407" t="s">
        <v>1594</v>
      </c>
      <c r="D78" s="406" t="s">
        <v>1471</v>
      </c>
      <c r="E78" s="373" t="s">
        <v>1769</v>
      </c>
      <c r="F78" s="27" t="s">
        <v>1438</v>
      </c>
      <c r="G78" s="85" t="s">
        <v>309</v>
      </c>
      <c r="H78" s="168">
        <v>1</v>
      </c>
      <c r="I78" s="87">
        <v>642.91999999999996</v>
      </c>
      <c r="J78" s="417">
        <f t="shared" ref="J78" si="17">MEDIAN(I78:I80)</f>
        <v>805.05</v>
      </c>
    </row>
    <row r="79" spans="1:10" ht="102" x14ac:dyDescent="0.25">
      <c r="B79" s="407"/>
      <c r="C79" s="407"/>
      <c r="D79" s="406"/>
      <c r="E79" s="308" t="s">
        <v>1436</v>
      </c>
      <c r="F79" s="27" t="s">
        <v>1439</v>
      </c>
      <c r="G79" s="85" t="s">
        <v>309</v>
      </c>
      <c r="H79" s="168">
        <v>1</v>
      </c>
      <c r="I79" s="87">
        <v>845.91</v>
      </c>
      <c r="J79" s="417"/>
    </row>
    <row r="80" spans="1:10" ht="76.5" x14ac:dyDescent="0.25">
      <c r="B80" s="407"/>
      <c r="C80" s="407"/>
      <c r="D80" s="406"/>
      <c r="E80" s="308" t="s">
        <v>1437</v>
      </c>
      <c r="F80" s="27" t="s">
        <v>1440</v>
      </c>
      <c r="G80" s="85" t="s">
        <v>309</v>
      </c>
      <c r="H80" s="168">
        <v>1</v>
      </c>
      <c r="I80" s="87">
        <v>805.05</v>
      </c>
      <c r="J80" s="417"/>
    </row>
    <row r="81" spans="2:10" ht="25.5" x14ac:dyDescent="0.25">
      <c r="B81" s="410">
        <v>25</v>
      </c>
      <c r="C81" s="410" t="s">
        <v>1595</v>
      </c>
      <c r="D81" s="411" t="s">
        <v>384</v>
      </c>
      <c r="E81" s="307" t="s">
        <v>1426</v>
      </c>
      <c r="F81" s="257" t="s">
        <v>1460</v>
      </c>
      <c r="G81" s="258" t="s">
        <v>309</v>
      </c>
      <c r="H81" s="259">
        <v>1</v>
      </c>
      <c r="I81" s="260">
        <v>2890</v>
      </c>
      <c r="J81" s="416">
        <f t="shared" ref="J81" si="18">MEDIAN(I81:I83)</f>
        <v>1610.41</v>
      </c>
    </row>
    <row r="82" spans="2:10" x14ac:dyDescent="0.25">
      <c r="B82" s="410"/>
      <c r="C82" s="410"/>
      <c r="D82" s="411"/>
      <c r="E82" s="257" t="s">
        <v>1582</v>
      </c>
      <c r="F82" s="371" t="s">
        <v>1580</v>
      </c>
      <c r="G82" s="258" t="s">
        <v>309</v>
      </c>
      <c r="H82" s="259">
        <v>1</v>
      </c>
      <c r="I82" s="260">
        <f>1199+292.1</f>
        <v>1491.1</v>
      </c>
      <c r="J82" s="416"/>
    </row>
    <row r="83" spans="2:10" x14ac:dyDescent="0.25">
      <c r="B83" s="410"/>
      <c r="C83" s="410"/>
      <c r="D83" s="411"/>
      <c r="E83" s="257" t="s">
        <v>1583</v>
      </c>
      <c r="F83" s="371" t="s">
        <v>1581</v>
      </c>
      <c r="G83" s="258" t="s">
        <v>309</v>
      </c>
      <c r="H83" s="259">
        <v>1</v>
      </c>
      <c r="I83" s="260">
        <f>1382.61+227.8</f>
        <v>1610.41</v>
      </c>
      <c r="J83" s="416"/>
    </row>
    <row r="84" spans="2:10" x14ac:dyDescent="0.25">
      <c r="B84" s="407">
        <v>26</v>
      </c>
      <c r="C84" s="407" t="s">
        <v>1596</v>
      </c>
      <c r="D84" s="406" t="s">
        <v>1584</v>
      </c>
      <c r="E84" s="27" t="s">
        <v>1585</v>
      </c>
      <c r="F84" s="371" t="s">
        <v>1586</v>
      </c>
      <c r="G84" s="85" t="s">
        <v>309</v>
      </c>
      <c r="H84" s="168">
        <v>1</v>
      </c>
      <c r="I84" s="87">
        <v>672.49</v>
      </c>
      <c r="J84" s="409">
        <f t="shared" ref="J84" si="19">MEDIAN(I84:I86)</f>
        <v>705.76</v>
      </c>
    </row>
    <row r="85" spans="2:10" x14ac:dyDescent="0.25">
      <c r="B85" s="407"/>
      <c r="C85" s="407"/>
      <c r="D85" s="406"/>
      <c r="E85" s="27" t="s">
        <v>1587</v>
      </c>
      <c r="F85" s="371" t="s">
        <v>1588</v>
      </c>
      <c r="G85" s="85" t="s">
        <v>309</v>
      </c>
      <c r="H85" s="168">
        <v>1</v>
      </c>
      <c r="I85" s="87">
        <v>817.52</v>
      </c>
      <c r="J85" s="409"/>
    </row>
    <row r="86" spans="2:10" x14ac:dyDescent="0.25">
      <c r="B86" s="407"/>
      <c r="C86" s="407"/>
      <c r="D86" s="406"/>
      <c r="E86" s="27" t="s">
        <v>1589</v>
      </c>
      <c r="F86" s="371" t="s">
        <v>1590</v>
      </c>
      <c r="G86" s="85" t="s">
        <v>309</v>
      </c>
      <c r="H86" s="168">
        <v>1</v>
      </c>
      <c r="I86" s="87">
        <v>705.76</v>
      </c>
      <c r="J86" s="409"/>
    </row>
    <row r="87" spans="2:10" ht="89.25" x14ac:dyDescent="0.25">
      <c r="B87" s="410">
        <v>27</v>
      </c>
      <c r="C87" s="410" t="s">
        <v>1607</v>
      </c>
      <c r="D87" s="411" t="s">
        <v>1600</v>
      </c>
      <c r="E87" s="307" t="s">
        <v>1601</v>
      </c>
      <c r="F87" s="257" t="s">
        <v>1602</v>
      </c>
      <c r="G87" s="258" t="s">
        <v>309</v>
      </c>
      <c r="H87" s="259">
        <v>1</v>
      </c>
      <c r="I87" s="260">
        <v>8.09</v>
      </c>
      <c r="J87" s="412">
        <f t="shared" ref="J87" si="20">MEDIAN(I87:I89)</f>
        <v>7.73</v>
      </c>
    </row>
    <row r="88" spans="2:10" ht="89.25" x14ac:dyDescent="0.25">
      <c r="B88" s="410"/>
      <c r="C88" s="410"/>
      <c r="D88" s="411"/>
      <c r="E88" s="307" t="s">
        <v>1603</v>
      </c>
      <c r="F88" s="257" t="s">
        <v>1604</v>
      </c>
      <c r="G88" s="258" t="s">
        <v>309</v>
      </c>
      <c r="H88" s="259">
        <v>1</v>
      </c>
      <c r="I88" s="260">
        <v>7.73</v>
      </c>
      <c r="J88" s="412"/>
    </row>
    <row r="89" spans="2:10" ht="63.75" x14ac:dyDescent="0.25">
      <c r="B89" s="410"/>
      <c r="C89" s="410"/>
      <c r="D89" s="411"/>
      <c r="E89" s="307" t="s">
        <v>1605</v>
      </c>
      <c r="F89" s="257" t="s">
        <v>1606</v>
      </c>
      <c r="G89" s="258" t="s">
        <v>309</v>
      </c>
      <c r="H89" s="259">
        <v>1</v>
      </c>
      <c r="I89" s="260">
        <v>7.08</v>
      </c>
      <c r="J89" s="412"/>
    </row>
    <row r="90" spans="2:10" x14ac:dyDescent="0.25">
      <c r="B90" s="407">
        <v>28</v>
      </c>
      <c r="C90" s="407" t="s">
        <v>1614</v>
      </c>
      <c r="D90" s="406" t="str">
        <f>'PMA CIV'!D80</f>
        <v>COTOVELO RETO  90° EM CHAPA DE AÇO GALVANIZADO 100 X 50 MM</v>
      </c>
      <c r="E90" s="27" t="s">
        <v>1617</v>
      </c>
      <c r="F90" s="371" t="s">
        <v>1618</v>
      </c>
      <c r="G90" s="85" t="s">
        <v>309</v>
      </c>
      <c r="H90" s="168">
        <v>1</v>
      </c>
      <c r="I90" s="87">
        <v>27.71</v>
      </c>
      <c r="J90" s="409">
        <f>MEDIAN(I90:I91)</f>
        <v>27.11</v>
      </c>
    </row>
    <row r="91" spans="2:10" ht="25.5" x14ac:dyDescent="0.25">
      <c r="B91" s="407"/>
      <c r="C91" s="407"/>
      <c r="D91" s="406"/>
      <c r="E91" s="306" t="s">
        <v>1530</v>
      </c>
      <c r="F91" s="27" t="s">
        <v>1563</v>
      </c>
      <c r="G91" s="85" t="s">
        <v>309</v>
      </c>
      <c r="H91" s="168">
        <v>1</v>
      </c>
      <c r="I91" s="87">
        <v>26.5</v>
      </c>
      <c r="J91" s="409"/>
    </row>
    <row r="92" spans="2:10" x14ac:dyDescent="0.25">
      <c r="B92" s="413">
        <v>29</v>
      </c>
      <c r="C92" s="413" t="s">
        <v>1615</v>
      </c>
      <c r="D92" s="414" t="str">
        <f>'PMA CIV'!D93</f>
        <v>TE HORIZONTAL 90 GRAUS PARA ELETROCALHA EM CHAPA DE ACO GALVANIZADO 75 X 50 MM, ESPESSURA #20</v>
      </c>
      <c r="E92" s="301" t="s">
        <v>1617</v>
      </c>
      <c r="F92" s="374" t="s">
        <v>1618</v>
      </c>
      <c r="G92" s="302" t="s">
        <v>309</v>
      </c>
      <c r="H92" s="303">
        <v>1</v>
      </c>
      <c r="I92" s="304">
        <v>39.880000000000003</v>
      </c>
      <c r="J92" s="415">
        <f>MEDIAN(I92:I93)</f>
        <v>38.69</v>
      </c>
    </row>
    <row r="93" spans="2:10" ht="25.5" x14ac:dyDescent="0.25">
      <c r="B93" s="413"/>
      <c r="C93" s="413"/>
      <c r="D93" s="414"/>
      <c r="E93" s="307" t="s">
        <v>1530</v>
      </c>
      <c r="F93" s="301" t="s">
        <v>1563</v>
      </c>
      <c r="G93" s="302" t="s">
        <v>309</v>
      </c>
      <c r="H93" s="303">
        <v>1</v>
      </c>
      <c r="I93" s="304">
        <v>37.5</v>
      </c>
      <c r="J93" s="415"/>
    </row>
    <row r="94" spans="2:10" x14ac:dyDescent="0.25">
      <c r="B94" s="407">
        <v>30</v>
      </c>
      <c r="C94" s="407" t="s">
        <v>1616</v>
      </c>
      <c r="D94" s="406" t="str">
        <f>'PMA CIV'!D73</f>
        <v>EMENDA PARA ELETROCALHA, LISA OU PERFURADA EM AÇO GALVANIZADO, LARGURA 100MM E ALTURA 50MM - FORNECIMENTO E INSTALAÇÃO. AF_09/2016</v>
      </c>
      <c r="E94" s="27" t="s">
        <v>1617</v>
      </c>
      <c r="F94" s="371" t="s">
        <v>1618</v>
      </c>
      <c r="G94" s="85" t="s">
        <v>309</v>
      </c>
      <c r="H94" s="168">
        <v>1</v>
      </c>
      <c r="I94" s="87">
        <v>5.16</v>
      </c>
      <c r="J94" s="409">
        <f>MEDIAN(I94:I95)</f>
        <v>4.9800000000000004</v>
      </c>
    </row>
    <row r="95" spans="2:10" ht="25.5" x14ac:dyDescent="0.25">
      <c r="B95" s="407"/>
      <c r="C95" s="407"/>
      <c r="D95" s="406"/>
      <c r="E95" s="306" t="s">
        <v>1530</v>
      </c>
      <c r="F95" s="27" t="s">
        <v>1563</v>
      </c>
      <c r="G95" s="85" t="s">
        <v>309</v>
      </c>
      <c r="H95" s="168">
        <v>1</v>
      </c>
      <c r="I95" s="87">
        <v>4.8</v>
      </c>
      <c r="J95" s="409"/>
    </row>
    <row r="96" spans="2:10" ht="14.45" customHeight="1" x14ac:dyDescent="0.25">
      <c r="B96" s="291"/>
      <c r="C96" s="291"/>
      <c r="D96" s="292"/>
      <c r="E96" s="37"/>
      <c r="F96" s="37"/>
      <c r="G96" s="291"/>
      <c r="H96" s="212"/>
      <c r="I96" s="294"/>
      <c r="J96" s="293"/>
    </row>
    <row r="97" spans="2:10" x14ac:dyDescent="0.25">
      <c r="B97" s="291"/>
      <c r="C97" s="291"/>
      <c r="D97" s="292"/>
      <c r="E97" s="37"/>
      <c r="F97" s="37"/>
      <c r="G97" s="291"/>
      <c r="H97" s="212"/>
      <c r="I97" s="294"/>
      <c r="J97" s="199" t="str">
        <f>'PLANILHA ORÇAMENTÁRIA'!I461</f>
        <v>ARIPUANÃ - MT, 04 de Abril de 2023.</v>
      </c>
    </row>
    <row r="98" spans="2:10" x14ac:dyDescent="0.25">
      <c r="B98" s="291"/>
      <c r="C98" s="291"/>
      <c r="D98" s="292"/>
      <c r="E98" s="37"/>
      <c r="F98" s="37"/>
      <c r="G98" s="291"/>
      <c r="H98" s="212"/>
      <c r="I98" s="294"/>
      <c r="J98" s="293"/>
    </row>
    <row r="99" spans="2:10" ht="90" customHeight="1" x14ac:dyDescent="0.25">
      <c r="B99" s="408" t="str">
        <f>'PLANILHA ORÇAMENTÁRIA'!B463</f>
        <v xml:space="preserve">
FLÁVIA MARIA COSTA
ENG. CIVIL - CREA/MT 031403</v>
      </c>
      <c r="C99" s="408"/>
      <c r="D99" s="408"/>
      <c r="E99" s="408"/>
      <c r="F99" s="408"/>
      <c r="G99" s="408"/>
      <c r="H99" s="408"/>
      <c r="I99" s="408"/>
      <c r="J99" s="408"/>
    </row>
    <row r="100" spans="2:10" x14ac:dyDescent="0.25">
      <c r="D100" s="164"/>
      <c r="F100" s="164"/>
      <c r="G100" s="164"/>
      <c r="H100" s="164"/>
      <c r="I100" s="287"/>
    </row>
    <row r="101" spans="2:10" x14ac:dyDescent="0.25">
      <c r="D101" s="164"/>
      <c r="F101" s="164"/>
      <c r="G101" s="164"/>
      <c r="H101" s="164"/>
      <c r="I101" s="287"/>
    </row>
    <row r="102" spans="2:10" x14ac:dyDescent="0.25">
      <c r="C102" s="289"/>
      <c r="D102" s="289"/>
      <c r="E102" s="289"/>
      <c r="F102" s="289"/>
      <c r="G102" s="289"/>
      <c r="H102" s="289"/>
      <c r="I102" s="289"/>
    </row>
    <row r="103" spans="2:10" x14ac:dyDescent="0.25">
      <c r="D103" s="164"/>
      <c r="F103" s="164"/>
      <c r="G103" s="164"/>
      <c r="H103" s="164"/>
      <c r="I103" s="287"/>
    </row>
    <row r="104" spans="2:10" x14ac:dyDescent="0.25">
      <c r="D104" s="164"/>
      <c r="F104" s="164"/>
      <c r="G104" s="164"/>
      <c r="H104" s="164"/>
      <c r="I104" s="287"/>
    </row>
    <row r="105" spans="2:10" x14ac:dyDescent="0.25">
      <c r="D105" s="164"/>
      <c r="F105" s="164"/>
      <c r="G105" s="164"/>
      <c r="H105" s="164"/>
      <c r="I105" s="287"/>
    </row>
    <row r="106" spans="2:10" x14ac:dyDescent="0.25">
      <c r="D106" s="164"/>
      <c r="F106" s="164"/>
      <c r="G106" s="164"/>
      <c r="H106" s="164"/>
      <c r="I106" s="287"/>
    </row>
    <row r="107" spans="2:10" x14ac:dyDescent="0.25">
      <c r="D107" s="164"/>
    </row>
    <row r="108" spans="2:10" x14ac:dyDescent="0.25">
      <c r="D108" s="164"/>
    </row>
    <row r="109" spans="2:10" x14ac:dyDescent="0.25">
      <c r="D109" s="164"/>
    </row>
    <row r="110" spans="2:10" x14ac:dyDescent="0.25">
      <c r="D110" s="164"/>
    </row>
    <row r="111" spans="2:10" x14ac:dyDescent="0.25">
      <c r="D111" s="164"/>
    </row>
    <row r="112" spans="2:10" x14ac:dyDescent="0.25">
      <c r="D112" s="164"/>
    </row>
    <row r="113" spans="4:4" x14ac:dyDescent="0.25">
      <c r="D113" s="164"/>
    </row>
    <row r="114" spans="4:4" x14ac:dyDescent="0.25">
      <c r="D114" s="164"/>
    </row>
    <row r="115" spans="4:4" x14ac:dyDescent="0.25">
      <c r="D115" s="164"/>
    </row>
    <row r="116" spans="4:4" x14ac:dyDescent="0.25">
      <c r="D116" s="164"/>
    </row>
    <row r="117" spans="4:4" x14ac:dyDescent="0.25">
      <c r="D117" s="164"/>
    </row>
    <row r="118" spans="4:4" x14ac:dyDescent="0.25">
      <c r="D118" s="164"/>
    </row>
    <row r="119" spans="4:4" x14ac:dyDescent="0.25">
      <c r="D119" s="164"/>
    </row>
    <row r="120" spans="4:4" x14ac:dyDescent="0.25">
      <c r="D120" s="164"/>
    </row>
    <row r="121" spans="4:4" x14ac:dyDescent="0.25">
      <c r="D121" s="164"/>
    </row>
    <row r="122" spans="4:4" x14ac:dyDescent="0.25">
      <c r="D122" s="164"/>
    </row>
    <row r="123" spans="4:4" x14ac:dyDescent="0.25">
      <c r="D123" s="164"/>
    </row>
    <row r="124" spans="4:4" x14ac:dyDescent="0.25">
      <c r="D124" s="164"/>
    </row>
    <row r="125" spans="4:4" x14ac:dyDescent="0.25">
      <c r="D125" s="164"/>
    </row>
    <row r="126" spans="4:4" x14ac:dyDescent="0.25">
      <c r="D126" s="164"/>
    </row>
    <row r="127" spans="4:4" x14ac:dyDescent="0.25">
      <c r="D127" s="164"/>
    </row>
    <row r="128" spans="4:4" x14ac:dyDescent="0.25">
      <c r="D128" s="164"/>
    </row>
    <row r="129" spans="4:4" x14ac:dyDescent="0.25">
      <c r="D129" s="164"/>
    </row>
    <row r="130" spans="4:4" x14ac:dyDescent="0.25">
      <c r="D130" s="164"/>
    </row>
    <row r="131" spans="4:4" x14ac:dyDescent="0.25">
      <c r="D131" s="164"/>
    </row>
    <row r="132" spans="4:4" x14ac:dyDescent="0.25">
      <c r="D132" s="164"/>
    </row>
    <row r="133" spans="4:4" x14ac:dyDescent="0.25">
      <c r="D133" s="164"/>
    </row>
    <row r="134" spans="4:4" x14ac:dyDescent="0.25">
      <c r="D134" s="164"/>
    </row>
    <row r="135" spans="4:4" x14ac:dyDescent="0.25">
      <c r="D135" s="164"/>
    </row>
    <row r="136" spans="4:4" x14ac:dyDescent="0.25">
      <c r="D136" s="164"/>
    </row>
    <row r="137" spans="4:4" x14ac:dyDescent="0.25">
      <c r="D137" s="164"/>
    </row>
    <row r="138" spans="4:4" x14ac:dyDescent="0.25">
      <c r="D138" s="164"/>
    </row>
    <row r="139" spans="4:4" x14ac:dyDescent="0.25">
      <c r="D139" s="164"/>
    </row>
    <row r="140" spans="4:4" x14ac:dyDescent="0.25">
      <c r="D140" s="164"/>
    </row>
    <row r="141" spans="4:4" x14ac:dyDescent="0.25">
      <c r="D141" s="164"/>
    </row>
    <row r="142" spans="4:4" x14ac:dyDescent="0.25">
      <c r="D142" s="164"/>
    </row>
    <row r="143" spans="4:4" x14ac:dyDescent="0.25">
      <c r="D143" s="164"/>
    </row>
    <row r="144" spans="4:4" x14ac:dyDescent="0.25">
      <c r="D144" s="164"/>
    </row>
    <row r="145" spans="4:4" x14ac:dyDescent="0.25">
      <c r="D145" s="164"/>
    </row>
    <row r="146" spans="4:4" x14ac:dyDescent="0.25">
      <c r="D146" s="164"/>
    </row>
    <row r="147" spans="4:4" x14ac:dyDescent="0.25">
      <c r="D147" s="164"/>
    </row>
    <row r="148" spans="4:4" x14ac:dyDescent="0.25">
      <c r="D148" s="164"/>
    </row>
    <row r="149" spans="4:4" x14ac:dyDescent="0.25">
      <c r="D149" s="164"/>
    </row>
    <row r="150" spans="4:4" x14ac:dyDescent="0.25">
      <c r="D150" s="164"/>
    </row>
    <row r="151" spans="4:4" x14ac:dyDescent="0.25">
      <c r="D151" s="164"/>
    </row>
    <row r="152" spans="4:4" x14ac:dyDescent="0.25">
      <c r="D152" s="164"/>
    </row>
    <row r="153" spans="4:4" x14ac:dyDescent="0.25">
      <c r="D153" s="164"/>
    </row>
    <row r="154" spans="4:4" x14ac:dyDescent="0.25">
      <c r="D154" s="164"/>
    </row>
    <row r="155" spans="4:4" x14ac:dyDescent="0.25">
      <c r="D155" s="164"/>
    </row>
    <row r="156" spans="4:4" x14ac:dyDescent="0.25">
      <c r="D156" s="164"/>
    </row>
    <row r="157" spans="4:4" x14ac:dyDescent="0.25">
      <c r="D157" s="164"/>
    </row>
    <row r="158" spans="4:4" x14ac:dyDescent="0.25">
      <c r="D158" s="164"/>
    </row>
    <row r="159" spans="4:4" x14ac:dyDescent="0.25">
      <c r="D159" s="164"/>
    </row>
    <row r="160" spans="4:4" x14ac:dyDescent="0.25">
      <c r="D160" s="164"/>
    </row>
    <row r="161" spans="4:4" x14ac:dyDescent="0.25">
      <c r="D161" s="164"/>
    </row>
    <row r="162" spans="4:4" x14ac:dyDescent="0.25">
      <c r="D162" s="164"/>
    </row>
    <row r="163" spans="4:4" x14ac:dyDescent="0.25">
      <c r="D163" s="164"/>
    </row>
    <row r="164" spans="4:4" x14ac:dyDescent="0.25">
      <c r="D164" s="164"/>
    </row>
    <row r="165" spans="4:4" x14ac:dyDescent="0.25">
      <c r="D165" s="164"/>
    </row>
    <row r="166" spans="4:4" x14ac:dyDescent="0.25">
      <c r="D166" s="164"/>
    </row>
    <row r="167" spans="4:4" x14ac:dyDescent="0.25">
      <c r="D167" s="164"/>
    </row>
    <row r="168" spans="4:4" x14ac:dyDescent="0.25">
      <c r="D168" s="164"/>
    </row>
    <row r="169" spans="4:4" x14ac:dyDescent="0.25">
      <c r="D169" s="164"/>
    </row>
    <row r="170" spans="4:4" x14ac:dyDescent="0.25">
      <c r="D170" s="164"/>
    </row>
    <row r="171" spans="4:4" x14ac:dyDescent="0.25">
      <c r="D171" s="164"/>
    </row>
    <row r="172" spans="4:4" x14ac:dyDescent="0.25">
      <c r="D172" s="164"/>
    </row>
    <row r="173" spans="4:4" x14ac:dyDescent="0.25">
      <c r="D173" s="164"/>
    </row>
    <row r="174" spans="4:4" x14ac:dyDescent="0.25">
      <c r="D174" s="164"/>
    </row>
    <row r="175" spans="4:4" x14ac:dyDescent="0.25">
      <c r="D175" s="164"/>
    </row>
    <row r="176" spans="4:4" x14ac:dyDescent="0.25">
      <c r="D176" s="164"/>
    </row>
    <row r="177" spans="4:4" x14ac:dyDescent="0.25">
      <c r="D177" s="164"/>
    </row>
    <row r="178" spans="4:4" x14ac:dyDescent="0.25">
      <c r="D178" s="164"/>
    </row>
    <row r="179" spans="4:4" x14ac:dyDescent="0.25">
      <c r="D179" s="164"/>
    </row>
    <row r="180" spans="4:4" x14ac:dyDescent="0.25">
      <c r="D180" s="164"/>
    </row>
    <row r="181" spans="4:4" x14ac:dyDescent="0.25">
      <c r="D181" s="164"/>
    </row>
    <row r="182" spans="4:4" x14ac:dyDescent="0.25">
      <c r="D182" s="164"/>
    </row>
    <row r="183" spans="4:4" x14ac:dyDescent="0.25">
      <c r="D183" s="164"/>
    </row>
    <row r="184" spans="4:4" x14ac:dyDescent="0.25">
      <c r="D184" s="164"/>
    </row>
    <row r="185" spans="4:4" x14ac:dyDescent="0.25">
      <c r="D185" s="164"/>
    </row>
    <row r="186" spans="4:4" x14ac:dyDescent="0.25">
      <c r="D186" s="164"/>
    </row>
    <row r="187" spans="4:4" x14ac:dyDescent="0.25">
      <c r="D187" s="164"/>
    </row>
    <row r="188" spans="4:4" x14ac:dyDescent="0.25">
      <c r="D188" s="164"/>
    </row>
    <row r="189" spans="4:4" x14ac:dyDescent="0.25">
      <c r="D189" s="164"/>
    </row>
    <row r="190" spans="4:4" x14ac:dyDescent="0.25">
      <c r="D190" s="164"/>
    </row>
    <row r="191" spans="4:4" x14ac:dyDescent="0.25">
      <c r="D191" s="164"/>
    </row>
    <row r="192" spans="4:4" x14ac:dyDescent="0.25">
      <c r="D192" s="164"/>
    </row>
    <row r="193" spans="4:4" x14ac:dyDescent="0.25">
      <c r="D193" s="164"/>
    </row>
    <row r="194" spans="4:4" x14ac:dyDescent="0.25">
      <c r="D194" s="164"/>
    </row>
    <row r="195" spans="4:4" x14ac:dyDescent="0.25">
      <c r="D195" s="164"/>
    </row>
    <row r="196" spans="4:4" x14ac:dyDescent="0.25">
      <c r="D196" s="164"/>
    </row>
    <row r="197" spans="4:4" x14ac:dyDescent="0.25">
      <c r="D197" s="164"/>
    </row>
    <row r="198" spans="4:4" x14ac:dyDescent="0.25">
      <c r="D198" s="164"/>
    </row>
    <row r="199" spans="4:4" x14ac:dyDescent="0.25">
      <c r="D199" s="164"/>
    </row>
    <row r="200" spans="4:4" x14ac:dyDescent="0.25">
      <c r="D200" s="164"/>
    </row>
    <row r="201" spans="4:4" x14ac:dyDescent="0.25">
      <c r="D201" s="164"/>
    </row>
    <row r="202" spans="4:4" x14ac:dyDescent="0.25">
      <c r="D202" s="164"/>
    </row>
    <row r="203" spans="4:4" x14ac:dyDescent="0.25">
      <c r="D203" s="164"/>
    </row>
    <row r="204" spans="4:4" x14ac:dyDescent="0.25">
      <c r="D204" s="164"/>
    </row>
    <row r="205" spans="4:4" x14ac:dyDescent="0.25">
      <c r="D205" s="164"/>
    </row>
    <row r="206" spans="4:4" x14ac:dyDescent="0.25">
      <c r="D206" s="164"/>
    </row>
    <row r="207" spans="4:4" x14ac:dyDescent="0.25">
      <c r="D207" s="164"/>
    </row>
    <row r="208" spans="4:4" x14ac:dyDescent="0.25">
      <c r="D208" s="164"/>
    </row>
    <row r="209" spans="4:4" x14ac:dyDescent="0.25">
      <c r="D209" s="164"/>
    </row>
    <row r="210" spans="4:4" x14ac:dyDescent="0.25">
      <c r="D210" s="164"/>
    </row>
    <row r="211" spans="4:4" x14ac:dyDescent="0.25">
      <c r="D211" s="164"/>
    </row>
    <row r="212" spans="4:4" x14ac:dyDescent="0.25">
      <c r="D212" s="164"/>
    </row>
    <row r="213" spans="4:4" x14ac:dyDescent="0.25">
      <c r="D213" s="164"/>
    </row>
    <row r="214" spans="4:4" x14ac:dyDescent="0.25">
      <c r="D214" s="164"/>
    </row>
    <row r="215" spans="4:4" x14ac:dyDescent="0.25">
      <c r="D215" s="164"/>
    </row>
    <row r="216" spans="4:4" x14ac:dyDescent="0.25">
      <c r="D216" s="164"/>
    </row>
    <row r="217" spans="4:4" x14ac:dyDescent="0.25">
      <c r="D217" s="164"/>
    </row>
    <row r="218" spans="4:4" x14ac:dyDescent="0.25">
      <c r="D218" s="164"/>
    </row>
    <row r="219" spans="4:4" x14ac:dyDescent="0.25">
      <c r="D219" s="164"/>
    </row>
    <row r="220" spans="4:4" x14ac:dyDescent="0.25">
      <c r="D220" s="164"/>
    </row>
    <row r="221" spans="4:4" x14ac:dyDescent="0.25">
      <c r="D221" s="164"/>
    </row>
    <row r="222" spans="4:4" x14ac:dyDescent="0.25">
      <c r="D222" s="164"/>
    </row>
    <row r="223" spans="4:4" x14ac:dyDescent="0.25">
      <c r="D223" s="164"/>
    </row>
    <row r="224" spans="4:4" x14ac:dyDescent="0.25">
      <c r="D224" s="164"/>
    </row>
    <row r="225" spans="4:4" x14ac:dyDescent="0.25">
      <c r="D225" s="164"/>
    </row>
    <row r="226" spans="4:4" x14ac:dyDescent="0.25">
      <c r="D226" s="164"/>
    </row>
    <row r="227" spans="4:4" x14ac:dyDescent="0.25">
      <c r="D227" s="164"/>
    </row>
    <row r="228" spans="4:4" x14ac:dyDescent="0.25">
      <c r="D228" s="164"/>
    </row>
    <row r="229" spans="4:4" x14ac:dyDescent="0.25">
      <c r="D229" s="164"/>
    </row>
    <row r="230" spans="4:4" x14ac:dyDescent="0.25">
      <c r="D230" s="164"/>
    </row>
    <row r="231" spans="4:4" x14ac:dyDescent="0.25">
      <c r="D231" s="164"/>
    </row>
    <row r="232" spans="4:4" x14ac:dyDescent="0.25">
      <c r="D232" s="164"/>
    </row>
    <row r="233" spans="4:4" x14ac:dyDescent="0.25">
      <c r="D233" s="164"/>
    </row>
    <row r="234" spans="4:4" x14ac:dyDescent="0.25">
      <c r="D234" s="164"/>
    </row>
    <row r="235" spans="4:4" x14ac:dyDescent="0.25">
      <c r="D235" s="164"/>
    </row>
    <row r="236" spans="4:4" x14ac:dyDescent="0.25">
      <c r="D236" s="164"/>
    </row>
    <row r="237" spans="4:4" x14ac:dyDescent="0.25">
      <c r="D237" s="164"/>
    </row>
    <row r="238" spans="4:4" x14ac:dyDescent="0.25">
      <c r="D238" s="164"/>
    </row>
    <row r="239" spans="4:4" x14ac:dyDescent="0.25">
      <c r="D239" s="164"/>
    </row>
    <row r="240" spans="4:4" x14ac:dyDescent="0.25">
      <c r="D240" s="164"/>
    </row>
    <row r="241" spans="4:4" x14ac:dyDescent="0.25">
      <c r="D241" s="164"/>
    </row>
    <row r="242" spans="4:4" x14ac:dyDescent="0.25">
      <c r="D242" s="164"/>
    </row>
    <row r="243" spans="4:4" x14ac:dyDescent="0.25">
      <c r="D243" s="164"/>
    </row>
    <row r="244" spans="4:4" x14ac:dyDescent="0.25">
      <c r="D244" s="164"/>
    </row>
    <row r="245" spans="4:4" x14ac:dyDescent="0.25">
      <c r="D245" s="164"/>
    </row>
  </sheetData>
  <mergeCells count="129">
    <mergeCell ref="B51:B53"/>
    <mergeCell ref="C51:C53"/>
    <mergeCell ref="D51:D53"/>
    <mergeCell ref="J51:J53"/>
    <mergeCell ref="B54:B56"/>
    <mergeCell ref="C54:C56"/>
    <mergeCell ref="D54:D56"/>
    <mergeCell ref="J54:J56"/>
    <mergeCell ref="B66:B68"/>
    <mergeCell ref="C66:C68"/>
    <mergeCell ref="D66:D68"/>
    <mergeCell ref="J66:J68"/>
    <mergeCell ref="B57:B59"/>
    <mergeCell ref="C57:C59"/>
    <mergeCell ref="D57:D59"/>
    <mergeCell ref="J57:J59"/>
    <mergeCell ref="B60:B62"/>
    <mergeCell ref="C60:C62"/>
    <mergeCell ref="D60:D62"/>
    <mergeCell ref="J60:J62"/>
    <mergeCell ref="B63:B65"/>
    <mergeCell ref="C63:C65"/>
    <mergeCell ref="D63:D65"/>
    <mergeCell ref="J63:J65"/>
    <mergeCell ref="D42:D44"/>
    <mergeCell ref="J42:J44"/>
    <mergeCell ref="B45:B47"/>
    <mergeCell ref="C45:C47"/>
    <mergeCell ref="D45:D47"/>
    <mergeCell ref="J45:J47"/>
    <mergeCell ref="B48:B50"/>
    <mergeCell ref="C48:C50"/>
    <mergeCell ref="D48:D50"/>
    <mergeCell ref="J48:J50"/>
    <mergeCell ref="B2:J2"/>
    <mergeCell ref="C3:J3"/>
    <mergeCell ref="C4:F4"/>
    <mergeCell ref="I4:J4"/>
    <mergeCell ref="C5:F5"/>
    <mergeCell ref="I5:J6"/>
    <mergeCell ref="C6:F6"/>
    <mergeCell ref="B7:J7"/>
    <mergeCell ref="B9:B11"/>
    <mergeCell ref="C9:C11"/>
    <mergeCell ref="D9:D11"/>
    <mergeCell ref="J9:J11"/>
    <mergeCell ref="B12:B14"/>
    <mergeCell ref="C12:C14"/>
    <mergeCell ref="D12:D14"/>
    <mergeCell ref="J12:J14"/>
    <mergeCell ref="B21:B23"/>
    <mergeCell ref="C21:C23"/>
    <mergeCell ref="D21:D23"/>
    <mergeCell ref="J21:J23"/>
    <mergeCell ref="B24:B26"/>
    <mergeCell ref="C24:C26"/>
    <mergeCell ref="D24:D26"/>
    <mergeCell ref="J24:J26"/>
    <mergeCell ref="B15:B17"/>
    <mergeCell ref="C15:C17"/>
    <mergeCell ref="D15:D17"/>
    <mergeCell ref="J15:J17"/>
    <mergeCell ref="B18:B20"/>
    <mergeCell ref="C18:C20"/>
    <mergeCell ref="D18:D20"/>
    <mergeCell ref="J18:J20"/>
    <mergeCell ref="B27:B29"/>
    <mergeCell ref="C27:C29"/>
    <mergeCell ref="D27:D29"/>
    <mergeCell ref="J27:J29"/>
    <mergeCell ref="B69:B71"/>
    <mergeCell ref="J69:J71"/>
    <mergeCell ref="B30:B32"/>
    <mergeCell ref="C30:C32"/>
    <mergeCell ref="D30:D32"/>
    <mergeCell ref="J30:J32"/>
    <mergeCell ref="B33:B35"/>
    <mergeCell ref="C33:C35"/>
    <mergeCell ref="D33:D35"/>
    <mergeCell ref="J33:J35"/>
    <mergeCell ref="B36:B38"/>
    <mergeCell ref="C36:C38"/>
    <mergeCell ref="D36:D38"/>
    <mergeCell ref="J36:J38"/>
    <mergeCell ref="B39:B41"/>
    <mergeCell ref="C39:C41"/>
    <mergeCell ref="D39:D41"/>
    <mergeCell ref="J39:J41"/>
    <mergeCell ref="B42:B44"/>
    <mergeCell ref="C42:C44"/>
    <mergeCell ref="J75:J77"/>
    <mergeCell ref="C69:C71"/>
    <mergeCell ref="D69:D71"/>
    <mergeCell ref="B78:B80"/>
    <mergeCell ref="C78:C80"/>
    <mergeCell ref="D78:D80"/>
    <mergeCell ref="J78:J80"/>
    <mergeCell ref="B81:B83"/>
    <mergeCell ref="C81:C83"/>
    <mergeCell ref="D81:D83"/>
    <mergeCell ref="J81:J83"/>
    <mergeCell ref="B72:B74"/>
    <mergeCell ref="J72:J74"/>
    <mergeCell ref="C72:C74"/>
    <mergeCell ref="D72:D74"/>
    <mergeCell ref="B75:B77"/>
    <mergeCell ref="C75:C77"/>
    <mergeCell ref="D75:D77"/>
    <mergeCell ref="D84:D86"/>
    <mergeCell ref="B84:B86"/>
    <mergeCell ref="C84:C86"/>
    <mergeCell ref="B99:J99"/>
    <mergeCell ref="J84:J86"/>
    <mergeCell ref="B87:B89"/>
    <mergeCell ref="C87:C89"/>
    <mergeCell ref="D87:D89"/>
    <mergeCell ref="J87:J89"/>
    <mergeCell ref="B90:B91"/>
    <mergeCell ref="C90:C91"/>
    <mergeCell ref="D90:D91"/>
    <mergeCell ref="J90:J91"/>
    <mergeCell ref="B92:B93"/>
    <mergeCell ref="C92:C93"/>
    <mergeCell ref="D92:D93"/>
    <mergeCell ref="J92:J93"/>
    <mergeCell ref="B94:B95"/>
    <mergeCell ref="C94:C95"/>
    <mergeCell ref="D94:D95"/>
    <mergeCell ref="J94:J95"/>
  </mergeCells>
  <phoneticPr fontId="24" type="noConversion"/>
  <hyperlinks>
    <hyperlink ref="E10" r:id="rId1" xr:uid="{5684B4B6-667D-4ADD-9563-77EFC361DD2B}"/>
    <hyperlink ref="E11" r:id="rId2" xr:uid="{D2FF579B-2AC1-414E-A8E4-E2D0D5833B9F}"/>
    <hyperlink ref="E13" r:id="rId3" xr:uid="{0E71FE8B-A609-4D1D-B260-D23373035233}"/>
    <hyperlink ref="E15" r:id="rId4" xr:uid="{DC3730FC-8297-4581-8B2C-BFB49AF3624E}"/>
    <hyperlink ref="E16" r:id="rId5" xr:uid="{524E1F9E-87C0-4581-BC96-82282822BA04}"/>
    <hyperlink ref="E17" r:id="rId6" xr:uid="{48E09F63-73CF-4958-BE4B-9FF42A32C5E9}"/>
    <hyperlink ref="E19" r:id="rId7" xr:uid="{9F9D88CD-3321-4C4C-9D02-71AA1CC08D3B}"/>
    <hyperlink ref="E20" r:id="rId8" xr:uid="{DB3BF401-F028-4040-847B-DB7C9EC6A222}"/>
    <hyperlink ref="E21" r:id="rId9" xr:uid="{B8937322-FE79-410C-8D93-E047AB944A12}"/>
    <hyperlink ref="E22" r:id="rId10" xr:uid="{0F16881F-24AA-403F-940F-D537F15C31EC}"/>
    <hyperlink ref="E23" r:id="rId11" xr:uid="{2551BD75-948F-436E-AACD-AFFC0EF6CA9E}"/>
    <hyperlink ref="E24" r:id="rId12" xr:uid="{376FCC0A-2252-4C99-ADA2-235CEB2B7FED}"/>
    <hyperlink ref="E26" r:id="rId13" location="position=5&amp;search_layout=stack&amp;type=item&amp;tracking_id=7c62b6c6-2da0-4d23-ab1c-261635b06795" xr:uid="{8B9769B6-867A-4357-902B-7EB9E3274F39}"/>
    <hyperlink ref="E27" r:id="rId14" xr:uid="{F65DB357-7BD7-4E45-8120-9BFFBAEE4BDB}"/>
    <hyperlink ref="E28" r:id="rId15" xr:uid="{F047B5EA-2307-4321-A9A1-AA7465DE7DE2}"/>
    <hyperlink ref="E29" r:id="rId16" xr:uid="{B349A026-35A7-4E15-AAC8-FF1D356FB262}"/>
    <hyperlink ref="E81" r:id="rId17" xr:uid="{A8179E89-CE55-40A7-B55B-96CA35B25EFA}"/>
    <hyperlink ref="E72" r:id="rId18" xr:uid="{79257424-D36B-4D29-8C80-1FC8B2EB399F}"/>
    <hyperlink ref="E73" r:id="rId19" xr:uid="{3136FD5F-6FB3-4B28-A049-0884A99049C8}"/>
    <hyperlink ref="E74" r:id="rId20" xr:uid="{5BCE8E5C-D983-41E3-BD7D-10F3E4958DFA}"/>
    <hyperlink ref="E75" r:id="rId21" xr:uid="{75D9A18C-3CE3-4636-966E-141A653C3CF9}"/>
    <hyperlink ref="E76" r:id="rId22" xr:uid="{CB29D281-9043-4979-A74D-D6F9092365C4}"/>
    <hyperlink ref="E77" r:id="rId23" xr:uid="{C2BA1F0B-3799-494D-81A3-250F1A722817}"/>
    <hyperlink ref="E79" r:id="rId24" display="https://livencasa.com/Barra-de-Apoio-Conforto-40cm-Polido-Deca?utm_source=google&amp;utm_medium=cpc&amp;utm_campaign=17444549690&amp;utm_term=&amp;utm_content={adsetid}&amp;device=c&amp;gclid=CjwKCAjw6MKXBhA5EiwANWLODMNhiUVCPEih3boXlHFIFJWW4kz30JibrVen0LIn0QefjsNB4KHuexoCfFoQAvD_BwE" xr:uid="{C5C8B15F-7BA3-422A-B6BD-E23DD49F66C7}"/>
    <hyperlink ref="E80" r:id="rId25" xr:uid="{66D3322E-D313-4BF5-AB67-3563ABDC4425}"/>
    <hyperlink ref="E44" r:id="rId26" xr:uid="{695B1F42-B9DA-478B-A42E-66F63732C2E3}"/>
    <hyperlink ref="E46" r:id="rId27" xr:uid="{AB3ED81F-7116-495E-88DD-2D04039AF419}"/>
    <hyperlink ref="E41" r:id="rId28" xr:uid="{4FDA7B26-D64C-46B9-98F4-E6428C7F35A4}"/>
    <hyperlink ref="E40" r:id="rId29" xr:uid="{110760D6-8C6C-4C45-871B-D3711E92817D}"/>
    <hyperlink ref="E67" r:id="rId30" xr:uid="{8E7FC4C8-8193-461D-BFCE-68A4679147B0}"/>
    <hyperlink ref="E31" r:id="rId31" xr:uid="{6008B76A-59FC-4D72-8CB3-57A54E9D78DF}"/>
    <hyperlink ref="E34" r:id="rId32" xr:uid="{464D283E-7717-4AD7-983E-32993D655A86}"/>
    <hyperlink ref="E32" r:id="rId33" location="carrinho" xr:uid="{4F23BF77-D58F-4481-A948-9DA93115274A}"/>
    <hyperlink ref="E37" r:id="rId34" xr:uid="{C5304E0C-3703-4C79-9308-BB8114B08676}"/>
    <hyperlink ref="E38" r:id="rId35" location="/cart" xr:uid="{74DB05A5-E01D-43B0-9A4D-2A9E56843C14}"/>
    <hyperlink ref="E68" r:id="rId36" location="carrinho" xr:uid="{9804BC25-C2A5-4139-860E-1EB5B4CF2E2E}"/>
    <hyperlink ref="E35" r:id="rId37" xr:uid="{AF15BD6E-1EA6-450D-BA0E-9992242B6D89}"/>
    <hyperlink ref="E45" r:id="rId38" xr:uid="{DB8386A1-3A75-4972-A1B2-1B01FAA61BBA}"/>
    <hyperlink ref="E48" r:id="rId39" xr:uid="{583A2361-5986-493B-90ED-2DCD248A5C9D}"/>
    <hyperlink ref="E49" r:id="rId40" xr:uid="{C7008FAE-0C8B-4937-93D3-C0343FCC184F}"/>
    <hyperlink ref="E51" r:id="rId41" xr:uid="{B3E69113-B2DE-4D0D-A63D-28A04FBD7F99}"/>
    <hyperlink ref="E54" r:id="rId42" xr:uid="{B69D09B5-D082-49F1-90D8-3E4B0033F971}"/>
    <hyperlink ref="E57" r:id="rId43" xr:uid="{78F3A741-4510-4018-BA5D-E3F68DDB4DD5}"/>
    <hyperlink ref="E58" r:id="rId44" xr:uid="{74E8643F-FC13-45E5-B44D-8319B8C6E25C}"/>
    <hyperlink ref="E60" r:id="rId45" xr:uid="{E96A29A3-DF5E-4E46-9319-6F82885DFA04}"/>
    <hyperlink ref="E61" r:id="rId46" xr:uid="{A89AF45D-3054-4D70-8DD8-1AD0F875475F}"/>
    <hyperlink ref="E63" r:id="rId47" xr:uid="{FDA9A978-DD05-4FE1-AE2C-20C9FDDFD80D}"/>
    <hyperlink ref="E64" r:id="rId48" xr:uid="{685A854D-9032-46B2-BCBE-D4D3519CDA21}"/>
    <hyperlink ref="E87" r:id="rId49" xr:uid="{F6A4F15F-3687-4AB1-9AEA-762611FFED02}"/>
    <hyperlink ref="E88" r:id="rId50" xr:uid="{D9FD5585-E4B8-44F2-BD18-AC39A1CE73BA}"/>
    <hyperlink ref="E89" r:id="rId51" xr:uid="{D1447567-A860-4A93-9A94-9106D24C1792}"/>
    <hyperlink ref="E52" r:id="rId52" xr:uid="{766B821A-B391-449E-94D5-508E5EBB483E}"/>
    <hyperlink ref="E91" r:id="rId53" xr:uid="{5D99F737-9579-4B6E-8A4B-1B05D79D045E}"/>
    <hyperlink ref="E93" r:id="rId54" xr:uid="{A62F04B4-98A0-4D13-A702-982ADA073CDA}"/>
    <hyperlink ref="E95" r:id="rId55" xr:uid="{109B2DB2-E22C-43D7-AEBE-30394111EA7E}"/>
    <hyperlink ref="E9" r:id="rId56" xr:uid="{2BBB5695-B1E6-4A83-99A3-C10E6185DE0E}"/>
    <hyperlink ref="E14" r:id="rId57" xr:uid="{4ACA6B19-4BE2-4A63-9179-CB98097807E6}"/>
    <hyperlink ref="E12" r:id="rId58" xr:uid="{8E02592E-C570-445D-8559-D0FDD851C0D2}"/>
    <hyperlink ref="E78" r:id="rId59" xr:uid="{C6833340-337D-4C2A-AB9A-A182EDC19F95}"/>
    <hyperlink ref="E25" r:id="rId60" xr:uid="{AA9F471B-318C-4A37-8C0A-77FE3748F1FE}"/>
  </hyperlinks>
  <pageMargins left="0.511811024" right="0.511811024" top="0.78740157499999996" bottom="0.78740157499999996" header="0.31496062000000002" footer="0.31496062000000002"/>
  <pageSetup paperSize="9" scale="50" fitToHeight="0" orientation="portrait" r:id="rId61"/>
  <drawing r:id="rId6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D39"/>
  <sheetViews>
    <sheetView view="pageBreakPreview" zoomScale="99" zoomScaleNormal="100" zoomScaleSheetLayoutView="99" workbookViewId="0">
      <selection activeCell="B8" sqref="B8:D8"/>
    </sheetView>
  </sheetViews>
  <sheetFormatPr defaultColWidth="9.140625" defaultRowHeight="12.75" x14ac:dyDescent="0.2"/>
  <cols>
    <col min="1" max="1" width="9.140625" style="8"/>
    <col min="2" max="2" width="14.28515625" style="8" customWidth="1"/>
    <col min="3" max="3" width="53.140625" style="8" customWidth="1"/>
    <col min="4" max="4" width="20" style="8" customWidth="1"/>
    <col min="5" max="16384" width="9.140625" style="8"/>
  </cols>
  <sheetData>
    <row r="2" spans="2:4" ht="11.25" customHeight="1" x14ac:dyDescent="0.2"/>
    <row r="3" spans="2:4" ht="90" customHeight="1" x14ac:dyDescent="0.2">
      <c r="B3" s="133"/>
      <c r="C3" s="397" t="str">
        <f>'PLANILHA ORÇAMENTÁRIA'!B3</f>
        <v>PREFEITURA MUNICIPAL DE ARIPUANÃ - MT
DEPARTAMENTO DE ENGENHARIA CIVIL
Praça São Francisco de Assis, 128, Caixa Postal 91 – CEP 78.325-000, 
Aripuanã – MT, Fone : (66) 3565 – 3900
www.aripuana.mt.gov.br</v>
      </c>
      <c r="D3" s="398"/>
    </row>
    <row r="4" spans="2:4" x14ac:dyDescent="0.2">
      <c r="B4" s="134" t="s">
        <v>520</v>
      </c>
      <c r="C4" s="400" t="s">
        <v>184</v>
      </c>
      <c r="D4" s="402"/>
    </row>
    <row r="5" spans="2:4" x14ac:dyDescent="0.2">
      <c r="B5" s="135" t="s">
        <v>239</v>
      </c>
      <c r="C5" s="400" t="s">
        <v>1777</v>
      </c>
      <c r="D5" s="402"/>
    </row>
    <row r="6" spans="2:4" x14ac:dyDescent="0.2">
      <c r="B6" s="135" t="s">
        <v>240</v>
      </c>
      <c r="C6" s="400" t="s">
        <v>236</v>
      </c>
      <c r="D6" s="402"/>
    </row>
    <row r="7" spans="2:4" x14ac:dyDescent="0.2">
      <c r="B7" s="136" t="s">
        <v>521</v>
      </c>
      <c r="C7" s="443">
        <f>RESUMO!C8</f>
        <v>3496715.07</v>
      </c>
      <c r="D7" s="444"/>
    </row>
    <row r="8" spans="2:4" ht="20.100000000000001" customHeight="1" thickBot="1" x14ac:dyDescent="0.25">
      <c r="B8" s="608" t="s">
        <v>1610</v>
      </c>
      <c r="C8" s="609"/>
      <c r="D8" s="610"/>
    </row>
    <row r="9" spans="2:4" ht="13.5" thickTop="1" x14ac:dyDescent="0.2">
      <c r="B9" s="3" t="s">
        <v>541</v>
      </c>
      <c r="C9" s="3" t="s">
        <v>234</v>
      </c>
      <c r="D9" s="3" t="s">
        <v>536</v>
      </c>
    </row>
    <row r="10" spans="2:4" x14ac:dyDescent="0.2">
      <c r="B10" s="137" t="s">
        <v>8</v>
      </c>
      <c r="C10" s="4" t="s">
        <v>542</v>
      </c>
      <c r="D10" s="138">
        <v>3.5000000000000003E-2</v>
      </c>
    </row>
    <row r="11" spans="2:4" x14ac:dyDescent="0.2">
      <c r="B11" s="137" t="s">
        <v>10</v>
      </c>
      <c r="C11" s="4" t="s">
        <v>543</v>
      </c>
      <c r="D11" s="138">
        <v>8.0000000000000002E-3</v>
      </c>
    </row>
    <row r="12" spans="2:4" x14ac:dyDescent="0.2">
      <c r="B12" s="137" t="s">
        <v>14</v>
      </c>
      <c r="C12" s="4" t="s">
        <v>544</v>
      </c>
      <c r="D12" s="138">
        <v>1.2699999999999999E-2</v>
      </c>
    </row>
    <row r="13" spans="2:4" x14ac:dyDescent="0.2">
      <c r="B13" s="137" t="s">
        <v>21</v>
      </c>
      <c r="C13" s="4" t="s">
        <v>545</v>
      </c>
      <c r="D13" s="138">
        <v>1.23E-2</v>
      </c>
    </row>
    <row r="14" spans="2:4" x14ac:dyDescent="0.2">
      <c r="B14" s="137" t="s">
        <v>26</v>
      </c>
      <c r="C14" s="4" t="s">
        <v>546</v>
      </c>
      <c r="D14" s="138">
        <v>7.4999999999999997E-2</v>
      </c>
    </row>
    <row r="15" spans="2:4" x14ac:dyDescent="0.2">
      <c r="B15" s="137" t="s">
        <v>28</v>
      </c>
      <c r="C15" s="4" t="s">
        <v>547</v>
      </c>
      <c r="D15" s="138">
        <f>D16+D17+D18+D19</f>
        <v>0.10150000000000001</v>
      </c>
    </row>
    <row r="16" spans="2:4" x14ac:dyDescent="0.2">
      <c r="B16" s="139" t="s">
        <v>29</v>
      </c>
      <c r="C16" s="5" t="s">
        <v>548</v>
      </c>
      <c r="D16" s="140">
        <v>0.03</v>
      </c>
    </row>
    <row r="17" spans="2:4" x14ac:dyDescent="0.2">
      <c r="B17" s="139" t="s">
        <v>30</v>
      </c>
      <c r="C17" s="5" t="s">
        <v>549</v>
      </c>
      <c r="D17" s="140">
        <v>6.4999999999999997E-3</v>
      </c>
    </row>
    <row r="18" spans="2:4" x14ac:dyDescent="0.2">
      <c r="B18" s="139" t="s">
        <v>31</v>
      </c>
      <c r="C18" s="5" t="s">
        <v>550</v>
      </c>
      <c r="D18" s="140">
        <v>0.02</v>
      </c>
    </row>
    <row r="19" spans="2:4" x14ac:dyDescent="0.2">
      <c r="B19" s="139" t="s">
        <v>204</v>
      </c>
      <c r="C19" s="5" t="s">
        <v>551</v>
      </c>
      <c r="D19" s="140">
        <v>4.4999999999999998E-2</v>
      </c>
    </row>
    <row r="20" spans="2:4" x14ac:dyDescent="0.2">
      <c r="B20" s="442" t="s">
        <v>780</v>
      </c>
      <c r="C20" s="442"/>
      <c r="D20" s="141">
        <f>(((1+D10+D11+D12)*(1+D13)*(1+D14))/(1-D15))-1</f>
        <v>0.27860000000000001</v>
      </c>
    </row>
    <row r="35" spans="2:4" x14ac:dyDescent="0.2">
      <c r="C35" s="6"/>
    </row>
    <row r="36" spans="2:4" x14ac:dyDescent="0.2">
      <c r="C36" s="7"/>
      <c r="D36" s="221" t="str">
        <f>'PMA CIV'!H121</f>
        <v>ARIPUANÃ - MT, 04 de Abril de 2023.</v>
      </c>
    </row>
    <row r="38" spans="2:4" ht="90" customHeight="1" x14ac:dyDescent="0.2">
      <c r="B38" s="396" t="str">
        <f>'PLANILHA ORÇAMENTÁRIA'!B463</f>
        <v xml:space="preserve">
FLÁVIA MARIA COSTA
ENG. CIVIL - CREA/MT 031403</v>
      </c>
      <c r="C38" s="396"/>
      <c r="D38" s="396"/>
    </row>
    <row r="39" spans="2:4" x14ac:dyDescent="0.2">
      <c r="B39" s="8" t="s">
        <v>1579</v>
      </c>
    </row>
  </sheetData>
  <mergeCells count="8">
    <mergeCell ref="B38:D38"/>
    <mergeCell ref="B20:C20"/>
    <mergeCell ref="B8:D8"/>
    <mergeCell ref="C3:D3"/>
    <mergeCell ref="C4:D4"/>
    <mergeCell ref="C5:D5"/>
    <mergeCell ref="C6:D6"/>
    <mergeCell ref="C7:D7"/>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M463"/>
  <sheetViews>
    <sheetView view="pageBreakPreview" zoomScale="98" zoomScaleNormal="100" zoomScaleSheetLayoutView="98" workbookViewId="0">
      <selection activeCell="C5" sqref="C5:E5"/>
    </sheetView>
  </sheetViews>
  <sheetFormatPr defaultColWidth="9.140625" defaultRowHeight="12.75" x14ac:dyDescent="0.25"/>
  <cols>
    <col min="1" max="1" width="9.140625" style="15"/>
    <col min="2" max="2" width="10.42578125" style="15" customWidth="1"/>
    <col min="3" max="3" width="14.28515625" style="15" customWidth="1"/>
    <col min="4" max="4" width="54.5703125" style="15" customWidth="1"/>
    <col min="5" max="5" width="15.85546875" style="15" customWidth="1"/>
    <col min="6" max="6" width="14.85546875" style="15" customWidth="1"/>
    <col min="7" max="7" width="12.7109375" style="15" customWidth="1"/>
    <col min="8" max="8" width="13.140625" style="15" customWidth="1"/>
    <col min="9" max="9" width="11.5703125" style="37" bestFit="1" customWidth="1"/>
    <col min="10" max="10" width="14.140625" style="37" customWidth="1"/>
    <col min="11" max="11" width="9.140625" style="37"/>
    <col min="12" max="16384" width="9.140625" style="15"/>
  </cols>
  <sheetData>
    <row r="3" spans="2:11" ht="90" customHeight="1" x14ac:dyDescent="0.25">
      <c r="B3" s="457" t="str">
        <f>'PLANILHA ORÇAMENTÁRIA'!B3</f>
        <v>PREFEITURA MUNICIPAL DE ARIPUANÃ - MT
DEPARTAMENTO DE ENGENHARIA CIVIL
Praça São Francisco de Assis, 128, Caixa Postal 91 – CEP 78.325-000, 
Aripuanã – MT, Fone : (66) 3565 – 3900
www.aripuana.mt.gov.br</v>
      </c>
      <c r="C3" s="398"/>
      <c r="D3" s="457"/>
      <c r="E3" s="457"/>
      <c r="F3" s="457"/>
      <c r="G3" s="457"/>
      <c r="H3" s="457"/>
      <c r="I3" s="457"/>
      <c r="J3" s="457"/>
    </row>
    <row r="4" spans="2:11" ht="13.15" customHeight="1" x14ac:dyDescent="0.25">
      <c r="B4" s="16" t="str">
        <f>CRONOGRAMA!B6</f>
        <v xml:space="preserve">PROP.: </v>
      </c>
      <c r="C4" s="423" t="str">
        <f>CRONOGRAMA!C6</f>
        <v>PREFEITURA MUNICIPAL DE ARIPUANÃ/MT</v>
      </c>
      <c r="D4" s="424"/>
      <c r="E4" s="424"/>
      <c r="F4" s="424"/>
      <c r="G4" s="425"/>
      <c r="H4" s="468" t="str">
        <f>'PLANILHA ORÇAMENTÁRIA'!H4</f>
        <v>Coordenadas: 9°55'38"S 59°54'55"W</v>
      </c>
      <c r="I4" s="468"/>
      <c r="J4" s="469"/>
    </row>
    <row r="5" spans="2:11" ht="13.15" customHeight="1" x14ac:dyDescent="0.25">
      <c r="B5" s="17" t="str">
        <f>CRONOGRAMA!B7</f>
        <v>OBRA:</v>
      </c>
      <c r="C5" s="423" t="s">
        <v>1777</v>
      </c>
      <c r="D5" s="424"/>
      <c r="E5" s="425"/>
      <c r="F5" s="333" t="s">
        <v>238</v>
      </c>
      <c r="G5" s="375" t="s">
        <v>246</v>
      </c>
      <c r="H5" s="470"/>
      <c r="I5" s="470"/>
      <c r="J5" s="471"/>
    </row>
    <row r="6" spans="2:11" ht="14.45" customHeight="1" x14ac:dyDescent="0.25">
      <c r="B6" s="17" t="str">
        <f>CRONOGRAMA!B8</f>
        <v>LOCAL:</v>
      </c>
      <c r="C6" s="423" t="str">
        <f>CRONOGRAMA!C8</f>
        <v>RUA GUARANTÃ, S/N, DISTRITO DE CONSELVAN, ARIPUANÃ - MT</v>
      </c>
      <c r="D6" s="424"/>
      <c r="E6" s="425"/>
      <c r="F6" s="333" t="s">
        <v>1</v>
      </c>
      <c r="G6" s="376">
        <v>0.27629999999999999</v>
      </c>
      <c r="H6" s="472" t="s">
        <v>1775</v>
      </c>
      <c r="I6" s="472"/>
      <c r="J6" s="473"/>
    </row>
    <row r="7" spans="2:11" ht="15" customHeight="1" thickBot="1" x14ac:dyDescent="0.3">
      <c r="B7" s="393" t="str">
        <f>CRONOGRAMA!B9</f>
        <v>RECURSO:</v>
      </c>
      <c r="C7" s="458">
        <f>CRONOGRAMA!C9</f>
        <v>3496715.07</v>
      </c>
      <c r="D7" s="459"/>
      <c r="E7" s="460"/>
      <c r="F7" s="394" t="s">
        <v>2</v>
      </c>
      <c r="G7" s="395">
        <v>45020</v>
      </c>
      <c r="H7" s="474"/>
      <c r="I7" s="474"/>
      <c r="J7" s="475"/>
    </row>
    <row r="8" spans="2:11" ht="19.5" thickBot="1" x14ac:dyDescent="0.3">
      <c r="B8" s="461" t="s">
        <v>187</v>
      </c>
      <c r="C8" s="462"/>
      <c r="D8" s="462"/>
      <c r="E8" s="462"/>
      <c r="F8" s="462"/>
      <c r="G8" s="462"/>
      <c r="H8" s="462"/>
      <c r="I8" s="462"/>
      <c r="J8" s="463"/>
    </row>
    <row r="9" spans="2:11" x14ac:dyDescent="0.25">
      <c r="B9" s="18" t="s">
        <v>3</v>
      </c>
      <c r="C9" s="18" t="s">
        <v>230</v>
      </c>
      <c r="D9" s="18" t="s">
        <v>4</v>
      </c>
      <c r="E9" s="464" t="s">
        <v>188</v>
      </c>
      <c r="F9" s="464"/>
      <c r="G9" s="464"/>
      <c r="H9" s="464"/>
      <c r="I9" s="170" t="s">
        <v>5</v>
      </c>
      <c r="J9" s="19" t="s">
        <v>6</v>
      </c>
    </row>
    <row r="10" spans="2:11" ht="3" customHeight="1" x14ac:dyDescent="0.25">
      <c r="B10" s="465"/>
      <c r="C10" s="466"/>
      <c r="D10" s="466"/>
      <c r="E10" s="466"/>
      <c r="F10" s="466"/>
      <c r="G10" s="466"/>
      <c r="H10" s="466"/>
      <c r="I10" s="466"/>
      <c r="J10" s="467"/>
    </row>
    <row r="11" spans="2:11" x14ac:dyDescent="0.25">
      <c r="B11" s="449" t="s">
        <v>8</v>
      </c>
      <c r="C11" s="449"/>
      <c r="D11" s="456" t="s">
        <v>7</v>
      </c>
      <c r="E11" s="456"/>
      <c r="F11" s="456"/>
      <c r="G11" s="456"/>
      <c r="H11" s="456"/>
      <c r="I11" s="456"/>
      <c r="J11" s="456"/>
    </row>
    <row r="12" spans="2:11" ht="25.5" x14ac:dyDescent="0.25">
      <c r="B12" s="48" t="str">
        <f>'PLANILHA ORÇAMENTÁRIA'!B12</f>
        <v>1.1</v>
      </c>
      <c r="C12" s="48" t="str">
        <f>'PLANILHA ORÇAMENTÁRIA'!C12</f>
        <v>PMA CIV 001</v>
      </c>
      <c r="D12" s="20" t="str">
        <f>'PLANILHA ORÇAMENTÁRIA'!D12</f>
        <v>PLACA DE OBRA EM CHAPA DE ACO GALVANIZADO - FORNECIMENTO E INSTALAÇÃO</v>
      </c>
      <c r="E12" s="452" t="s">
        <v>981</v>
      </c>
      <c r="F12" s="452"/>
      <c r="G12" s="452"/>
      <c r="H12" s="452"/>
      <c r="I12" s="48">
        <f>1.8*2.5</f>
        <v>4.5</v>
      </c>
      <c r="J12" s="48" t="str">
        <f>'PLANILHA ORÇAMENTÁRIA'!E12</f>
        <v>M2</v>
      </c>
      <c r="K12" s="37" t="s">
        <v>975</v>
      </c>
    </row>
    <row r="13" spans="2:11" ht="38.25" x14ac:dyDescent="0.25">
      <c r="B13" s="48" t="str">
        <f>'PLANILHA ORÇAMENTÁRIA'!B13</f>
        <v>1.2</v>
      </c>
      <c r="C13" s="48">
        <f>'PLANILHA ORÇAMENTÁRIA'!C13</f>
        <v>93584</v>
      </c>
      <c r="D13" s="20" t="str">
        <f>'PLANILHA ORÇAMENTÁRIA'!D13</f>
        <v>EXECUÇÃO DE DEPÓSITO EM CANTEIRO DE OBRA EM CHAPA DE MADEIRA COMPENSADA, NÃO INCLUSO MOBILIÁRIO. AF_04/2016</v>
      </c>
      <c r="E13" s="452" t="s">
        <v>800</v>
      </c>
      <c r="F13" s="452"/>
      <c r="G13" s="452"/>
      <c r="H13" s="452"/>
      <c r="I13" s="48">
        <f>4*5</f>
        <v>20</v>
      </c>
      <c r="J13" s="48" t="str">
        <f>'PLANILHA ORÇAMENTÁRIA'!E13</f>
        <v>M2</v>
      </c>
    </row>
    <row r="14" spans="2:11" ht="38.25" x14ac:dyDescent="0.25">
      <c r="B14" s="48" t="str">
        <f>'PLANILHA ORÇAMENTÁRIA'!B14</f>
        <v>1.3</v>
      </c>
      <c r="C14" s="48">
        <f>'PLANILHA ORÇAMENTÁRIA'!C14</f>
        <v>93207</v>
      </c>
      <c r="D14" s="20" t="str">
        <f>'PLANILHA ORÇAMENTÁRIA'!D14</f>
        <v>EXECUÇÃO DE ESCRITÓRIO EM CANTEIRO DE OBRA EM CHAPA DE MADEIRA COMPENSADA, NÃO INCLUSO MOBILIÁRIO E EQUIPAMENTOS. AF_02/2016</v>
      </c>
      <c r="E14" s="452" t="s">
        <v>801</v>
      </c>
      <c r="F14" s="452"/>
      <c r="G14" s="452"/>
      <c r="H14" s="452"/>
      <c r="I14" s="48">
        <f>4*4</f>
        <v>16</v>
      </c>
      <c r="J14" s="48" t="str">
        <f>'PLANILHA ORÇAMENTÁRIA'!E14</f>
        <v>M2</v>
      </c>
    </row>
    <row r="15" spans="2:11" ht="38.25" x14ac:dyDescent="0.25">
      <c r="B15" s="48" t="str">
        <f>'PLANILHA ORÇAMENTÁRIA'!B15</f>
        <v>1.4</v>
      </c>
      <c r="C15" s="48">
        <f>'PLANILHA ORÇAMENTÁRIA'!C15</f>
        <v>93212</v>
      </c>
      <c r="D15" s="20" t="str">
        <f>'PLANILHA ORÇAMENTÁRIA'!D15</f>
        <v>EXECUÇÃO DE SANITÁRIO E VESTIÁRIO EM CANTEIRO DE OBRA EM CHAPA DE MADEIRA COMPENSADA, NÃO INCLUSO MOBILIÁRIO. AF_02/2016</v>
      </c>
      <c r="E15" s="452" t="s">
        <v>802</v>
      </c>
      <c r="F15" s="452"/>
      <c r="G15" s="452"/>
      <c r="H15" s="452"/>
      <c r="I15" s="48">
        <f>2*1.5</f>
        <v>3</v>
      </c>
      <c r="J15" s="48" t="str">
        <f>'PLANILHA ORÇAMENTÁRIA'!E15</f>
        <v>M2</v>
      </c>
    </row>
    <row r="16" spans="2:11" ht="25.5" x14ac:dyDescent="0.25">
      <c r="B16" s="48" t="str">
        <f>'PLANILHA ORÇAMENTÁRIA'!B16</f>
        <v>1.5</v>
      </c>
      <c r="C16" s="48">
        <f>'PLANILHA ORÇAMENTÁRIA'!C16</f>
        <v>99058</v>
      </c>
      <c r="D16" s="20" t="str">
        <f>'PLANILHA ORÇAMENTÁRIA'!D16</f>
        <v>LOCAÇÃO DE PONTO PARA REFERÊNCIA TOPOGRÁFICA. AF_10/2018</v>
      </c>
      <c r="E16" s="455" t="s">
        <v>1623</v>
      </c>
      <c r="F16" s="455"/>
      <c r="G16" s="455"/>
      <c r="H16" s="455"/>
      <c r="I16" s="27">
        <v>15</v>
      </c>
      <c r="J16" s="27" t="s">
        <v>309</v>
      </c>
    </row>
    <row r="17" spans="2:10" ht="38.25" x14ac:dyDescent="0.25">
      <c r="B17" s="48" t="str">
        <f>'PLANILHA ORÇAMENTÁRIA'!B17</f>
        <v>1.6</v>
      </c>
      <c r="C17" s="48">
        <f>'PLANILHA ORÇAMENTÁRIA'!C17</f>
        <v>99059</v>
      </c>
      <c r="D17" s="20" t="str">
        <f>'PLANILHA ORÇAMENTÁRIA'!D17</f>
        <v>LOCACAO CONVENCIONAL DE OBRA, UTILIZANDO GABARITO DE TÁBUAS CORRIDAS PONTALETADAS A CADA 2,00M - 2 UTILIZAÇÕES. AF_10/2018</v>
      </c>
      <c r="E17" s="452" t="s">
        <v>1622</v>
      </c>
      <c r="F17" s="452"/>
      <c r="G17" s="452"/>
      <c r="H17" s="452"/>
      <c r="I17" s="48">
        <v>110</v>
      </c>
      <c r="J17" s="48" t="str">
        <f>'PLANILHA ORÇAMENTÁRIA'!E17</f>
        <v>M</v>
      </c>
    </row>
    <row r="18" spans="2:10" x14ac:dyDescent="0.25">
      <c r="B18" s="48" t="str">
        <f>'PLANILHA ORÇAMENTÁRIA'!B18</f>
        <v>1.7</v>
      </c>
      <c r="C18" s="48">
        <f>'PLANILHA ORÇAMENTÁRIA'!C18</f>
        <v>98459</v>
      </c>
      <c r="D18" s="20" t="str">
        <f>'PLANILHA ORÇAMENTÁRIA'!D18</f>
        <v>TAPUME COM TELHA METÁLICA. AF_05/2018</v>
      </c>
      <c r="E18" s="452" t="s">
        <v>1624</v>
      </c>
      <c r="F18" s="452"/>
      <c r="G18" s="452"/>
      <c r="H18" s="452"/>
      <c r="I18" s="48">
        <f>123*2.5</f>
        <v>307.5</v>
      </c>
      <c r="J18" s="48" t="str">
        <f>'PLANILHA ORÇAMENTÁRIA'!E18</f>
        <v>M2</v>
      </c>
    </row>
    <row r="19" spans="2:10" ht="25.5" x14ac:dyDescent="0.25">
      <c r="B19" s="48" t="str">
        <f>'PLANILHA ORÇAMENTÁRIA'!B19</f>
        <v>1.8</v>
      </c>
      <c r="C19" s="48">
        <f>'PLANILHA ORÇAMENTÁRIA'!C19</f>
        <v>94319</v>
      </c>
      <c r="D19" s="20" t="str">
        <f>'PLANILHA ORÇAMENTÁRIA'!D19</f>
        <v>ATERRO MANUAL DE VALAS COM SOLO ARGILO-ARENOSO E COMPACTAÇÃO MECANIZADA. AF_05/2016</v>
      </c>
      <c r="E19" s="452" t="s">
        <v>1685</v>
      </c>
      <c r="F19" s="452"/>
      <c r="G19" s="452"/>
      <c r="H19" s="452"/>
      <c r="I19" s="48">
        <f xml:space="preserve"> (3*3*5*3)+(1.2*10*40)</f>
        <v>615</v>
      </c>
      <c r="J19" s="48" t="s">
        <v>257</v>
      </c>
    </row>
    <row r="20" spans="2:10" x14ac:dyDescent="0.25">
      <c r="B20" s="448"/>
      <c r="C20" s="448"/>
      <c r="D20" s="448"/>
      <c r="E20" s="448"/>
      <c r="F20" s="448"/>
      <c r="G20" s="448"/>
      <c r="H20" s="448"/>
      <c r="I20" s="448"/>
      <c r="J20" s="448"/>
    </row>
    <row r="21" spans="2:10" x14ac:dyDescent="0.25">
      <c r="B21" s="449" t="s">
        <v>10</v>
      </c>
      <c r="C21" s="449"/>
      <c r="D21" s="450" t="s">
        <v>53</v>
      </c>
      <c r="E21" s="450"/>
      <c r="F21" s="450"/>
      <c r="G21" s="450"/>
      <c r="H21" s="450"/>
      <c r="I21" s="450"/>
      <c r="J21" s="450"/>
    </row>
    <row r="22" spans="2:10" ht="25.5" x14ac:dyDescent="0.25">
      <c r="B22" s="21" t="s">
        <v>12</v>
      </c>
      <c r="C22" s="48">
        <f>'PLANILHA ORÇAMENTÁRIA'!C22</f>
        <v>90778</v>
      </c>
      <c r="D22" s="20" t="str">
        <f>'PLANILHA ORÇAMENTÁRIA'!D22</f>
        <v>ENGENHEIRO CIVIL DE OBRA PLENO COM ENCARGOS COMPLEMENTARES</v>
      </c>
      <c r="E22" s="454" t="s">
        <v>803</v>
      </c>
      <c r="F22" s="454"/>
      <c r="G22" s="454"/>
      <c r="H22" s="454"/>
      <c r="I22" s="22">
        <f>4*210</f>
        <v>840</v>
      </c>
      <c r="J22" s="48" t="str">
        <f>'PLANILHA ORÇAMENTÁRIA'!E22</f>
        <v>H</v>
      </c>
    </row>
    <row r="23" spans="2:10" x14ac:dyDescent="0.25">
      <c r="B23" s="21" t="s">
        <v>13</v>
      </c>
      <c r="C23" s="48">
        <f>'PLANILHA ORÇAMENTÁRIA'!C23</f>
        <v>90776</v>
      </c>
      <c r="D23" s="20" t="str">
        <f>'PLANILHA ORÇAMENTÁRIA'!D23</f>
        <v>ENCARREGADO GERAL COM ENCARGOS COMPLEMENTARES</v>
      </c>
      <c r="E23" s="454" t="s">
        <v>804</v>
      </c>
      <c r="F23" s="454"/>
      <c r="G23" s="454"/>
      <c r="H23" s="454"/>
      <c r="I23" s="22">
        <f>8*210</f>
        <v>1680</v>
      </c>
      <c r="J23" s="48" t="str">
        <f>'PLANILHA ORÇAMENTÁRIA'!E23</f>
        <v>H</v>
      </c>
    </row>
    <row r="24" spans="2:10" x14ac:dyDescent="0.25">
      <c r="B24" s="21" t="s">
        <v>287</v>
      </c>
      <c r="C24" s="48">
        <f>'PLANILHA ORÇAMENTÁRIA'!C24</f>
        <v>88266</v>
      </c>
      <c r="D24" s="20" t="str">
        <f>'PLANILHA ORÇAMENTÁRIA'!D24</f>
        <v>ELETROTÉCNICO COM ENCARGOS COMPLEMENTARES</v>
      </c>
      <c r="E24" s="454" t="s">
        <v>1076</v>
      </c>
      <c r="F24" s="454"/>
      <c r="G24" s="454"/>
      <c r="H24" s="454"/>
      <c r="I24" s="22">
        <f>6*210</f>
        <v>1260</v>
      </c>
      <c r="J24" s="48" t="str">
        <f>'PLANILHA ORÇAMENTÁRIA'!E24</f>
        <v>H</v>
      </c>
    </row>
    <row r="25" spans="2:10" x14ac:dyDescent="0.25">
      <c r="B25" s="21" t="s">
        <v>1074</v>
      </c>
      <c r="C25" s="48">
        <f>'PLANILHA ORÇAMENTÁRIA'!C25</f>
        <v>88326</v>
      </c>
      <c r="D25" s="20" t="str">
        <f>'PLANILHA ORÇAMENTÁRIA'!D25</f>
        <v>VIGIA NOTURNO COM ENCARGOS COMPLEMENTARES</v>
      </c>
      <c r="E25" s="454" t="s">
        <v>865</v>
      </c>
      <c r="F25" s="454"/>
      <c r="G25" s="454"/>
      <c r="H25" s="454"/>
      <c r="I25" s="22">
        <f>12*210</f>
        <v>2520</v>
      </c>
      <c r="J25" s="48" t="str">
        <f>'PLANILHA ORÇAMENTÁRIA'!E25</f>
        <v>H</v>
      </c>
    </row>
    <row r="26" spans="2:10" x14ac:dyDescent="0.25">
      <c r="B26" s="448"/>
      <c r="C26" s="448"/>
      <c r="D26" s="448"/>
      <c r="E26" s="448"/>
      <c r="F26" s="448"/>
      <c r="G26" s="448"/>
      <c r="H26" s="448"/>
      <c r="I26" s="448"/>
      <c r="J26" s="448"/>
    </row>
    <row r="27" spans="2:10" x14ac:dyDescent="0.25">
      <c r="B27" s="449" t="s">
        <v>14</v>
      </c>
      <c r="C27" s="449"/>
      <c r="D27" s="456" t="s">
        <v>228</v>
      </c>
      <c r="E27" s="456"/>
      <c r="F27" s="456"/>
      <c r="G27" s="456"/>
      <c r="H27" s="456"/>
      <c r="I27" s="456"/>
      <c r="J27" s="456"/>
    </row>
    <row r="28" spans="2:10" ht="25.5" x14ac:dyDescent="0.25">
      <c r="B28" s="21" t="str">
        <f>'PLANILHA ORÇAMENTÁRIA'!B28</f>
        <v>3.1</v>
      </c>
      <c r="C28" s="21">
        <f>'PLANILHA ORÇAMENTÁRIA'!C28</f>
        <v>97644</v>
      </c>
      <c r="D28" s="25" t="str">
        <f>'PLANILHA ORÇAMENTÁRIA'!D28</f>
        <v>REMOÇÃO DE PORTAS, DE FORMA MANUAL, SEM REAPROVEITAMENTO. AF_12/2017</v>
      </c>
      <c r="E28" s="445" t="s">
        <v>813</v>
      </c>
      <c r="F28" s="445"/>
      <c r="G28" s="445"/>
      <c r="H28" s="445"/>
      <c r="I28" s="21">
        <f>17*0.9*2.1</f>
        <v>32.130000000000003</v>
      </c>
      <c r="J28" s="21" t="s">
        <v>251</v>
      </c>
    </row>
    <row r="29" spans="2:10" ht="25.5" x14ac:dyDescent="0.25">
      <c r="B29" s="21" t="str">
        <f>'PLANILHA ORÇAMENTÁRIA'!B29</f>
        <v>3.2</v>
      </c>
      <c r="C29" s="21">
        <f>'PLANILHA ORÇAMENTÁRIA'!C29</f>
        <v>97645</v>
      </c>
      <c r="D29" s="25" t="str">
        <f>'PLANILHA ORÇAMENTÁRIA'!D29</f>
        <v>REMOÇÃO DE JANELAS, DE FORMA MANUAL, SEM REAPROVEITAMENTO. AF_12/2017</v>
      </c>
      <c r="E29" s="445" t="s">
        <v>814</v>
      </c>
      <c r="F29" s="445"/>
      <c r="G29" s="445"/>
      <c r="H29" s="445"/>
      <c r="I29" s="21">
        <f>29*1.2*1</f>
        <v>34.799999999999997</v>
      </c>
      <c r="J29" s="21" t="s">
        <v>251</v>
      </c>
    </row>
    <row r="30" spans="2:10" ht="25.5" x14ac:dyDescent="0.25">
      <c r="B30" s="21" t="str">
        <f>'PLANILHA ORÇAMENTÁRIA'!B30</f>
        <v>3.3</v>
      </c>
      <c r="C30" s="48">
        <f>'PLANILHA ORÇAMENTÁRIA'!C30</f>
        <v>97642</v>
      </c>
      <c r="D30" s="25" t="str">
        <f>'PLANILHA ORÇAMENTÁRIA'!D30</f>
        <v>REMOÇÃO DE TRAMA DE MADEIRA PARA FORRO, DE FORMA MANUAL, SEM REAPROVEITAMENTO. AF_12/2017</v>
      </c>
      <c r="E30" s="445" t="s">
        <v>816</v>
      </c>
      <c r="F30" s="445"/>
      <c r="G30" s="445"/>
      <c r="H30" s="445"/>
      <c r="I30" s="21">
        <v>330.76</v>
      </c>
      <c r="J30" s="21" t="s">
        <v>251</v>
      </c>
    </row>
    <row r="31" spans="2:10" ht="25.5" x14ac:dyDescent="0.25">
      <c r="B31" s="21" t="str">
        <f>'PLANILHA ORÇAMENTÁRIA'!B31</f>
        <v>3.4</v>
      </c>
      <c r="C31" s="48">
        <f>'PLANILHA ORÇAMENTÁRIA'!C31</f>
        <v>97650</v>
      </c>
      <c r="D31" s="25" t="str">
        <f>'PLANILHA ORÇAMENTÁRIA'!D31</f>
        <v>REMOÇÃO DE TRAMA DE MADEIRA PARA COBERTURA, DE FORMA MANUAL, SEM REAPROVEITAMENTO. AF_12/2017</v>
      </c>
      <c r="E31" s="445" t="s">
        <v>815</v>
      </c>
      <c r="F31" s="445"/>
      <c r="G31" s="445"/>
      <c r="H31" s="445"/>
      <c r="I31" s="21">
        <v>413.24</v>
      </c>
      <c r="J31" s="21" t="s">
        <v>251</v>
      </c>
    </row>
    <row r="32" spans="2:10" ht="25.5" x14ac:dyDescent="0.25">
      <c r="B32" s="21" t="str">
        <f>'PLANILHA ORÇAMENTÁRIA'!B32</f>
        <v>3.5</v>
      </c>
      <c r="C32" s="48">
        <f>'PLANILHA ORÇAMENTÁRIA'!C32</f>
        <v>97640</v>
      </c>
      <c r="D32" s="25" t="str">
        <f>'PLANILHA ORÇAMENTÁRIA'!D32</f>
        <v>REMOÇÃO DE FORROS DE PVC, DE FORMA MANUAL, SEM REAPROVEITAMENTO. AF_12/2017</v>
      </c>
      <c r="E32" s="445" t="s">
        <v>280</v>
      </c>
      <c r="F32" s="445"/>
      <c r="G32" s="445"/>
      <c r="H32" s="445"/>
      <c r="I32" s="21">
        <v>330.76</v>
      </c>
      <c r="J32" s="21" t="s">
        <v>251</v>
      </c>
    </row>
    <row r="33" spans="2:10" ht="25.5" x14ac:dyDescent="0.25">
      <c r="B33" s="21" t="str">
        <f>'PLANILHA ORÇAMENTÁRIA'!B33</f>
        <v>3.6</v>
      </c>
      <c r="C33" s="21">
        <f>'PLANILHA ORÇAMENTÁRIA'!C33</f>
        <v>97647</v>
      </c>
      <c r="D33" s="25" t="str">
        <f>'PLANILHA ORÇAMENTÁRIA'!D33</f>
        <v>REMOÇÃO DE TELHAS DE FIBROCIMENTO, DE FORMA MANUAL, SEM REAPROVEITAMENTO. AF_12/2017</v>
      </c>
      <c r="E33" s="445" t="s">
        <v>280</v>
      </c>
      <c r="F33" s="445"/>
      <c r="G33" s="445"/>
      <c r="H33" s="445"/>
      <c r="I33" s="21">
        <v>413.24</v>
      </c>
      <c r="J33" s="21" t="s">
        <v>251</v>
      </c>
    </row>
    <row r="34" spans="2:10" ht="25.5" x14ac:dyDescent="0.25">
      <c r="B34" s="21" t="str">
        <f>'PLANILHA ORÇAMENTÁRIA'!B34</f>
        <v>3.7</v>
      </c>
      <c r="C34" s="21">
        <f>'PLANILHA ORÇAMENTÁRIA'!C34</f>
        <v>97663</v>
      </c>
      <c r="D34" s="25" t="str">
        <f>'PLANILHA ORÇAMENTÁRIA'!D34</f>
        <v>REMOÇÃO DE LOUÇAS, DE FORMA MANUAL, SEM REAPROVEITAMENTO. AF_12/2017</v>
      </c>
      <c r="E34" s="445" t="s">
        <v>280</v>
      </c>
      <c r="F34" s="445"/>
      <c r="G34" s="445"/>
      <c r="H34" s="445"/>
      <c r="I34" s="21">
        <v>31</v>
      </c>
      <c r="J34" s="21" t="s">
        <v>309</v>
      </c>
    </row>
    <row r="35" spans="2:10" ht="25.5" x14ac:dyDescent="0.25">
      <c r="B35" s="21" t="str">
        <f>'PLANILHA ORÇAMENTÁRIA'!B35</f>
        <v>3.8</v>
      </c>
      <c r="C35" s="21">
        <f>'PLANILHA ORÇAMENTÁRIA'!C35</f>
        <v>97666</v>
      </c>
      <c r="D35" s="25" t="str">
        <f>'PLANILHA ORÇAMENTÁRIA'!D35</f>
        <v>REMOÇÃO DE METAIS SANITÁRIOS, DE FORMA MANUAL, SEM REAPROVEITAMENTO. AF_12/2017</v>
      </c>
      <c r="E35" s="445" t="s">
        <v>280</v>
      </c>
      <c r="F35" s="445"/>
      <c r="G35" s="445"/>
      <c r="H35" s="445"/>
      <c r="I35" s="21">
        <v>21</v>
      </c>
      <c r="J35" s="21" t="s">
        <v>309</v>
      </c>
    </row>
    <row r="36" spans="2:10" ht="25.5" x14ac:dyDescent="0.25">
      <c r="B36" s="21" t="str">
        <f>'PLANILHA ORÇAMENTÁRIA'!B36</f>
        <v>3.9</v>
      </c>
      <c r="C36" s="21">
        <f>'PLANILHA ORÇAMENTÁRIA'!C36</f>
        <v>97660</v>
      </c>
      <c r="D36" s="25" t="str">
        <f>'PLANILHA ORÇAMENTÁRIA'!D36</f>
        <v>REMOÇÃO DE INTERRUPTORES/TOMADAS ELÉTRICAS, DE FORMA MANUAL, SEM REAPROVEITAMENTO. AF_12/2017</v>
      </c>
      <c r="E36" s="445" t="s">
        <v>820</v>
      </c>
      <c r="F36" s="453"/>
      <c r="G36" s="453"/>
      <c r="H36" s="453"/>
      <c r="I36" s="21">
        <f>50+6+20+2</f>
        <v>78</v>
      </c>
      <c r="J36" s="21" t="s">
        <v>309</v>
      </c>
    </row>
    <row r="37" spans="2:10" ht="25.5" x14ac:dyDescent="0.25">
      <c r="B37" s="21" t="str">
        <f>'PLANILHA ORÇAMENTÁRIA'!B37</f>
        <v>3.10</v>
      </c>
      <c r="C37" s="21">
        <f>'PLANILHA ORÇAMENTÁRIA'!C37</f>
        <v>97661</v>
      </c>
      <c r="D37" s="25" t="str">
        <f>'PLANILHA ORÇAMENTÁRIA'!D37</f>
        <v>REMOÇÃO DE CABOS ELÉTRICOS, DE FORMA MANUAL, SEM REAPROVEITAMENTO. AF_12/2017</v>
      </c>
      <c r="E37" s="445" t="s">
        <v>821</v>
      </c>
      <c r="F37" s="453"/>
      <c r="G37" s="453"/>
      <c r="H37" s="453"/>
      <c r="I37" s="21">
        <f>1422.36+344</f>
        <v>1766.36</v>
      </c>
      <c r="J37" s="21" t="s">
        <v>248</v>
      </c>
    </row>
    <row r="38" spans="2:10" ht="25.5" x14ac:dyDescent="0.25">
      <c r="B38" s="21" t="str">
        <f>'PLANILHA ORÇAMENTÁRIA'!B38</f>
        <v>3.11</v>
      </c>
      <c r="C38" s="21">
        <f>'PLANILHA ORÇAMENTÁRIA'!C38</f>
        <v>97622</v>
      </c>
      <c r="D38" s="25" t="str">
        <f>'PLANILHA ORÇAMENTÁRIA'!D38</f>
        <v>DEMOLIÇÃO DE ALVENARIA DE BLOCO FURADO, DE FORMA MANUAL, SEM REAPROVEITAMENTO. AF_12/2017</v>
      </c>
      <c r="E38" s="445" t="s">
        <v>822</v>
      </c>
      <c r="F38" s="453"/>
      <c r="G38" s="453"/>
      <c r="H38" s="453"/>
      <c r="I38" s="21">
        <f>404.97*0.25</f>
        <v>101.24250000000001</v>
      </c>
      <c r="J38" s="21" t="s">
        <v>257</v>
      </c>
    </row>
    <row r="39" spans="2:10" ht="25.5" x14ac:dyDescent="0.25">
      <c r="B39" s="21" t="str">
        <f>'PLANILHA ORÇAMENTÁRIA'!B39</f>
        <v>3.12</v>
      </c>
      <c r="C39" s="21">
        <f>'PLANILHA ORÇAMENTÁRIA'!C39</f>
        <v>97626</v>
      </c>
      <c r="D39" s="25" t="str">
        <f>'PLANILHA ORÇAMENTÁRIA'!D39</f>
        <v>DEMOLIÇÃO DE PILARES E VIGAS EM CONCRETO ARMADO, DE FORMA MANUAL, SEM REAPROVEITAMENTO. AF_12/2017</v>
      </c>
      <c r="E39" s="445" t="s">
        <v>854</v>
      </c>
      <c r="F39" s="453"/>
      <c r="G39" s="453"/>
      <c r="H39" s="453"/>
      <c r="I39" s="21">
        <v>10.74</v>
      </c>
      <c r="J39" s="21" t="s">
        <v>257</v>
      </c>
    </row>
    <row r="40" spans="2:10" ht="25.5" x14ac:dyDescent="0.25">
      <c r="B40" s="21" t="str">
        <f>'PLANILHA ORÇAMENTÁRIA'!B40</f>
        <v>3.13</v>
      </c>
      <c r="C40" s="21">
        <f>'PLANILHA ORÇAMENTÁRIA'!C40</f>
        <v>97632</v>
      </c>
      <c r="D40" s="25" t="str">
        <f>'PLANILHA ORÇAMENTÁRIA'!D40</f>
        <v>DEMOLIÇÃO DE RODAPÉ CERÂMICO, DE FORMA MANUAL, SEM REAPROVEITAMENTO. AF_12/2017</v>
      </c>
      <c r="E40" s="445" t="s">
        <v>855</v>
      </c>
      <c r="F40" s="453"/>
      <c r="G40" s="453"/>
      <c r="H40" s="453"/>
      <c r="I40" s="21">
        <v>232.71</v>
      </c>
      <c r="J40" s="21" t="s">
        <v>248</v>
      </c>
    </row>
    <row r="41" spans="2:10" ht="25.5" x14ac:dyDescent="0.25">
      <c r="B41" s="21" t="str">
        <f>'PLANILHA ORÇAMENTÁRIA'!B41</f>
        <v>3.14</v>
      </c>
      <c r="C41" s="21">
        <f>'PLANILHA ORÇAMENTÁRIA'!C41</f>
        <v>97633</v>
      </c>
      <c r="D41" s="25" t="str">
        <f>'PLANILHA ORÇAMENTÁRIA'!D41</f>
        <v>DEMOLIÇÃO DE REVESTIMENTO CERÂMICO, DE FORMA MANUAL, SEM REAPROVEITAMENTO. AF_12/2017</v>
      </c>
      <c r="E41" s="445" t="s">
        <v>856</v>
      </c>
      <c r="F41" s="453"/>
      <c r="G41" s="453"/>
      <c r="H41" s="453"/>
      <c r="I41" s="21">
        <v>163.01</v>
      </c>
      <c r="J41" s="21" t="s">
        <v>251</v>
      </c>
    </row>
    <row r="42" spans="2:10" ht="51" x14ac:dyDescent="0.25">
      <c r="B42" s="21" t="str">
        <f>'PLANILHA ORÇAMENTÁRIA'!B42</f>
        <v>3.15</v>
      </c>
      <c r="C42" s="21">
        <f>'PLANILHA ORÇAMENTÁRIA'!C42</f>
        <v>100981</v>
      </c>
      <c r="D42" s="25" t="str">
        <f>'PLANILHA ORÇAMENTÁRIA'!D42</f>
        <v>CARGA, MANOBRA E DESCARGA DE ENTULHO EM CAMINHÃO BASCULANTE 6 M³ - CARGA COM ESCAVADEIRA HIDRÁULICA (CAÇAMBA DE 0,80 M³ / 111 HP) E DESCARGA LIVRE. AF_07/2020 m³</v>
      </c>
      <c r="E42" s="445" t="s">
        <v>849</v>
      </c>
      <c r="F42" s="453"/>
      <c r="G42" s="453"/>
      <c r="H42" s="453"/>
      <c r="I42" s="21">
        <f>(I38+I39+(0.1*526.61))*1.5</f>
        <v>246.96525</v>
      </c>
      <c r="J42" s="21" t="s">
        <v>257</v>
      </c>
    </row>
    <row r="43" spans="2:10" ht="25.5" x14ac:dyDescent="0.25">
      <c r="B43" s="21" t="str">
        <f>'PLANILHA ORÇAMENTÁRIA'!B43</f>
        <v>3.16</v>
      </c>
      <c r="C43" s="21">
        <f>'PLANILHA ORÇAMENTÁRIA'!C43</f>
        <v>97912</v>
      </c>
      <c r="D43" s="25" t="str">
        <f>'PLANILHA ORÇAMENTÁRIA'!D43</f>
        <v>TRANSPORTE COM CAMINHÃO BASCULANTE DE 6 M³, EM VIA URBANA LEITO NATURAL (8KM). AF_07/2020</v>
      </c>
      <c r="E43" s="445" t="s">
        <v>852</v>
      </c>
      <c r="F43" s="445"/>
      <c r="G43" s="445"/>
      <c r="H43" s="445"/>
      <c r="I43" s="21">
        <f>I42*8</f>
        <v>1975.722</v>
      </c>
      <c r="J43" s="21" t="s">
        <v>851</v>
      </c>
    </row>
    <row r="44" spans="2:10" x14ac:dyDescent="0.25">
      <c r="B44" s="448"/>
      <c r="C44" s="448"/>
      <c r="D44" s="448"/>
      <c r="E44" s="448"/>
      <c r="F44" s="448"/>
      <c r="G44" s="448"/>
      <c r="H44" s="448"/>
      <c r="I44" s="448"/>
      <c r="J44" s="448"/>
    </row>
    <row r="45" spans="2:10" x14ac:dyDescent="0.25">
      <c r="B45" s="449" t="s">
        <v>21</v>
      </c>
      <c r="C45" s="449"/>
      <c r="D45" s="476" t="s">
        <v>11</v>
      </c>
      <c r="E45" s="476"/>
      <c r="F45" s="476"/>
      <c r="G45" s="476"/>
      <c r="H45" s="476"/>
      <c r="I45" s="476"/>
      <c r="J45" s="476"/>
    </row>
    <row r="46" spans="2:10" x14ac:dyDescent="0.25">
      <c r="B46" s="447" t="str">
        <f>'PLANILHA ORÇAMENTÁRIA'!B46</f>
        <v>ESTACA BROCA</v>
      </c>
      <c r="C46" s="447"/>
      <c r="D46" s="447"/>
      <c r="E46" s="447"/>
      <c r="F46" s="447"/>
      <c r="G46" s="447"/>
      <c r="H46" s="447"/>
      <c r="I46" s="447"/>
      <c r="J46" s="447"/>
    </row>
    <row r="47" spans="2:10" ht="38.25" x14ac:dyDescent="0.25">
      <c r="B47" s="21" t="str">
        <f>'PLANILHA ORÇAMENTÁRIA'!B47</f>
        <v>4.1</v>
      </c>
      <c r="C47" s="21">
        <f>'PLANILHA ORÇAMENTÁRIA'!C47</f>
        <v>101176</v>
      </c>
      <c r="D47" s="36" t="str">
        <f>'PLANILHA ORÇAMENTÁRIA'!D47</f>
        <v>ESTACA BROCA DE CONCRETO, DIÂMETRO DE 30CM, ESCAVAÇÃO MANUAL COM TRADO CONCHA, INTEIRAMENTE ARMADA. AF_05/2020</v>
      </c>
      <c r="E47" s="445" t="s">
        <v>1359</v>
      </c>
      <c r="F47" s="445"/>
      <c r="G47" s="445"/>
      <c r="H47" s="445"/>
      <c r="I47" s="21">
        <v>60</v>
      </c>
      <c r="J47" s="21" t="s">
        <v>248</v>
      </c>
    </row>
    <row r="48" spans="2:10" x14ac:dyDescent="0.25">
      <c r="B48" s="447" t="str">
        <f>'PLANILHA ORÇAMENTÁRIA'!B48</f>
        <v>VIGA BALDRAME</v>
      </c>
      <c r="C48" s="447"/>
      <c r="D48" s="447"/>
      <c r="E48" s="447"/>
      <c r="F48" s="447"/>
      <c r="G48" s="447"/>
      <c r="H48" s="447"/>
      <c r="I48" s="447"/>
      <c r="J48" s="447"/>
    </row>
    <row r="49" spans="2:11" ht="38.25" x14ac:dyDescent="0.25">
      <c r="B49" s="21" t="str">
        <f>'PLANILHA ORÇAMENTÁRIA'!B49</f>
        <v>4.2</v>
      </c>
      <c r="C49" s="21">
        <f>'PLANILHA ORÇAMENTÁRIA'!C49</f>
        <v>96527</v>
      </c>
      <c r="D49" s="36" t="str">
        <f>'PLANILHA ORÇAMENTÁRIA'!D49</f>
        <v>ESCAVAÇÃO MANUAL DE VALA PARA VIGA BALDRAME (INCLUINDO ESCAVAÇÃO PARA COLOCAÇÃO DE FÔRMAS). AF_06/2017</v>
      </c>
      <c r="E49" s="445" t="s">
        <v>1360</v>
      </c>
      <c r="F49" s="445"/>
      <c r="G49" s="445"/>
      <c r="H49" s="445"/>
      <c r="I49" s="21">
        <f>(((154.27/2)/0.35)*0.1*0.35)+11.66</f>
        <v>19.3735</v>
      </c>
      <c r="J49" s="21" t="s">
        <v>257</v>
      </c>
    </row>
    <row r="50" spans="2:11" ht="51" x14ac:dyDescent="0.25">
      <c r="B50" s="21" t="str">
        <f>'PLANILHA ORÇAMENTÁRIA'!B50</f>
        <v>4.3</v>
      </c>
      <c r="C50" s="21">
        <f>'PLANILHA ORÇAMENTÁRIA'!C50</f>
        <v>96542</v>
      </c>
      <c r="D50" s="36" t="str">
        <f>'PLANILHA ORÇAMENTÁRIA'!D50</f>
        <v>FABRICAÇÃO, MONTAGEM E DESMONTAGEM DE FÔRMA PARA VIGA BALDRAME, EM CHAPA DE MADEIRA COMPENSADA RESINADA, E=17 MM, 4 UTILIZAÇÕES. AF_06/2017</v>
      </c>
      <c r="E50" s="445" t="s">
        <v>1362</v>
      </c>
      <c r="F50" s="445"/>
      <c r="G50" s="445"/>
      <c r="H50" s="445"/>
      <c r="I50" s="21">
        <f>154.27/2</f>
        <v>77.135000000000005</v>
      </c>
      <c r="J50" s="21" t="s">
        <v>251</v>
      </c>
    </row>
    <row r="51" spans="2:11" ht="51" x14ac:dyDescent="0.25">
      <c r="B51" s="21" t="str">
        <f>'PLANILHA ORÇAMENTÁRIA'!B51</f>
        <v>4.4</v>
      </c>
      <c r="C51" s="21">
        <f>'PLANILHA ORÇAMENTÁRIA'!C51</f>
        <v>96555</v>
      </c>
      <c r="D51" s="36" t="str">
        <f>'PLANILHA ORÇAMENTÁRIA'!D51</f>
        <v>CONCRETAGEM DE BLOCOS DE COROAMENTO E VIGAS BALDRAME, FCK 30 MPA, COM USO DE JERICA  LANÇAMENTO, ADENSAMENTO E ACABAMENTO. AF_06/2017</v>
      </c>
      <c r="E51" s="445" t="s">
        <v>1361</v>
      </c>
      <c r="F51" s="445"/>
      <c r="G51" s="445"/>
      <c r="H51" s="445"/>
      <c r="I51" s="21">
        <v>11.66</v>
      </c>
      <c r="J51" s="21" t="s">
        <v>257</v>
      </c>
    </row>
    <row r="52" spans="2:11" ht="25.5" x14ac:dyDescent="0.25">
      <c r="B52" s="21" t="str">
        <f>'PLANILHA ORÇAMENTÁRIA'!B52</f>
        <v>4.5</v>
      </c>
      <c r="C52" s="21">
        <f>'PLANILHA ORÇAMENTÁRIA'!C52</f>
        <v>96543</v>
      </c>
      <c r="D52" s="36" t="str">
        <f>'PLANILHA ORÇAMENTÁRIA'!D52</f>
        <v>ARMAÇÃO DE BLOCO, VIGA BALDRAME E SAPATA UTILIZANDO AÇO CA-60 DE 5 MM - MONTAGEM. AF_06/2017</v>
      </c>
      <c r="E52" s="445" t="s">
        <v>1361</v>
      </c>
      <c r="F52" s="445"/>
      <c r="G52" s="445"/>
      <c r="H52" s="445"/>
      <c r="I52" s="21">
        <v>168.3</v>
      </c>
      <c r="J52" s="21" t="s">
        <v>253</v>
      </c>
    </row>
    <row r="53" spans="2:11" ht="25.5" x14ac:dyDescent="0.25">
      <c r="B53" s="21" t="str">
        <f>'PLANILHA ORÇAMENTÁRIA'!B53</f>
        <v>4.6</v>
      </c>
      <c r="C53" s="21">
        <f>'PLANILHA ORÇAMENTÁRIA'!C53</f>
        <v>96544</v>
      </c>
      <c r="D53" s="36" t="str">
        <f>'PLANILHA ORÇAMENTÁRIA'!D53</f>
        <v>ARMAÇÃO DE BLOCO, VIGA BALDRAME OU SAPATA UTILIZANDO AÇO CA-50 DE 6,3 MM - MONTAGEM. AF_06/2017</v>
      </c>
      <c r="E53" s="445" t="s">
        <v>1361</v>
      </c>
      <c r="F53" s="445"/>
      <c r="G53" s="445"/>
      <c r="H53" s="445"/>
      <c r="I53" s="21">
        <v>1.7</v>
      </c>
      <c r="J53" s="21" t="s">
        <v>253</v>
      </c>
    </row>
    <row r="54" spans="2:11" ht="25.5" x14ac:dyDescent="0.25">
      <c r="B54" s="21" t="str">
        <f>'PLANILHA ORÇAMENTÁRIA'!B54</f>
        <v>4.7</v>
      </c>
      <c r="C54" s="21">
        <f>'PLANILHA ORÇAMENTÁRIA'!C54</f>
        <v>96545</v>
      </c>
      <c r="D54" s="36" t="str">
        <f>'PLANILHA ORÇAMENTÁRIA'!D54</f>
        <v>ARMAÇÃO DE BLOCO, VIGA BALDRAME OU SAPATA UTILIZANDO AÇO CA-50 DE 8 MM - MONTAGEM. AF_06/2017</v>
      </c>
      <c r="E54" s="445" t="s">
        <v>1361</v>
      </c>
      <c r="F54" s="445"/>
      <c r="G54" s="445"/>
      <c r="H54" s="445"/>
      <c r="I54" s="21">
        <v>304</v>
      </c>
      <c r="J54" s="21" t="s">
        <v>253</v>
      </c>
    </row>
    <row r="55" spans="2:11" ht="25.5" x14ac:dyDescent="0.25">
      <c r="B55" s="21" t="str">
        <f>'PLANILHA ORÇAMENTÁRIA'!B55</f>
        <v>4.8</v>
      </c>
      <c r="C55" s="21">
        <f>'PLANILHA ORÇAMENTÁRIA'!C55</f>
        <v>98557</v>
      </c>
      <c r="D55" s="36" t="str">
        <f>'PLANILHA ORÇAMENTÁRIA'!D55</f>
        <v>IMPERMEABILIZAÇÃO DE SUPERFÍCIE COM EMULSÃO ASFÁLTICA, 2 DEMÃOS AF_06/2018</v>
      </c>
      <c r="E55" s="445" t="s">
        <v>1372</v>
      </c>
      <c r="F55" s="445"/>
      <c r="G55" s="445"/>
      <c r="H55" s="445"/>
      <c r="I55" s="21">
        <f>154.27/2</f>
        <v>77.135000000000005</v>
      </c>
      <c r="J55" s="21" t="s">
        <v>251</v>
      </c>
    </row>
    <row r="56" spans="2:11" x14ac:dyDescent="0.25">
      <c r="B56" s="447" t="str">
        <f>'PLANILHA ORÇAMENTÁRIA'!B56</f>
        <v>RADIER</v>
      </c>
      <c r="C56" s="447"/>
      <c r="D56" s="447"/>
      <c r="E56" s="447"/>
      <c r="F56" s="447"/>
      <c r="G56" s="447"/>
      <c r="H56" s="447"/>
      <c r="I56" s="447"/>
      <c r="J56" s="447"/>
    </row>
    <row r="57" spans="2:11" s="28" customFormat="1" ht="25.5" x14ac:dyDescent="0.25">
      <c r="B57" s="21" t="str">
        <f>'PLANILHA ORÇAMENTÁRIA'!B57</f>
        <v>4.9</v>
      </c>
      <c r="C57" s="21">
        <f>'PLANILHA ORÇAMENTÁRIA'!C57</f>
        <v>101116</v>
      </c>
      <c r="D57" s="36" t="str">
        <f>'PLANILHA ORÇAMENTÁRIA'!D57</f>
        <v>ESCAVAÇÃO HORIZONTAL EM SOLO DE 1A CATEGORIA COM TRATOR DE ESTEIRAS (170HP/LÂMINA: 5,20M3). AF_07/2020</v>
      </c>
      <c r="E57" s="445" t="s">
        <v>1361</v>
      </c>
      <c r="F57" s="445"/>
      <c r="G57" s="445"/>
      <c r="H57" s="445"/>
      <c r="I57" s="205">
        <f>I62</f>
        <v>183.34</v>
      </c>
      <c r="J57" s="21" t="str">
        <f>'PLANILHA ORÇAMENTÁRIA'!E57</f>
        <v>M3</v>
      </c>
      <c r="K57" s="187"/>
    </row>
    <row r="58" spans="2:11" s="28" customFormat="1" ht="38.25" x14ac:dyDescent="0.25">
      <c r="B58" s="21" t="str">
        <f>'PLANILHA ORÇAMENTÁRIA'!B58</f>
        <v>4.10</v>
      </c>
      <c r="C58" s="21">
        <f>'PLANILHA ORÇAMENTÁRIA'!C58</f>
        <v>97083</v>
      </c>
      <c r="D58" s="36" t="str">
        <f>'PLANILHA ORÇAMENTÁRIA'!D58</f>
        <v>COMPACTAÇÃO MECÂNICA DE SOLO PARA EXECUÇÃO DE RADIER, PISO DE CONCRETO OU LAJE SOBRE SOLO, COM COMPACTADOR DE SOLOS A PERCUSSÃO. AF_09/2021</v>
      </c>
      <c r="E58" s="445" t="s">
        <v>1379</v>
      </c>
      <c r="F58" s="445"/>
      <c r="G58" s="445"/>
      <c r="H58" s="445"/>
      <c r="I58" s="205">
        <f>I60</f>
        <v>523.83000000000004</v>
      </c>
      <c r="J58" s="21" t="str">
        <f>'PLANILHA ORÇAMENTÁRIA'!E58</f>
        <v>M2</v>
      </c>
      <c r="K58" s="187"/>
    </row>
    <row r="59" spans="2:11" s="28" customFormat="1" ht="38.25" x14ac:dyDescent="0.25">
      <c r="B59" s="21" t="str">
        <f>'PLANILHA ORÇAMENTÁRIA'!B59</f>
        <v>4.11</v>
      </c>
      <c r="C59" s="21">
        <f>'PLANILHA ORÇAMENTÁRIA'!C59</f>
        <v>96624</v>
      </c>
      <c r="D59" s="36" t="str">
        <f>'PLANILHA ORÇAMENTÁRIA'!D59</f>
        <v>LASTRO COM MATERIAL GRANULAR (PEDRA BRITADA N.2), APLICADO EM PISOS OU LAJES SOBRE SOLO, ESPESSURA DE *10 CM*. AF_08/2017</v>
      </c>
      <c r="E59" s="445" t="s">
        <v>1378</v>
      </c>
      <c r="F59" s="445"/>
      <c r="G59" s="445"/>
      <c r="H59" s="445"/>
      <c r="I59" s="205">
        <f>I60*0.1</f>
        <v>52.38</v>
      </c>
      <c r="J59" s="21" t="str">
        <f>'PLANILHA ORÇAMENTÁRIA'!E59</f>
        <v>M3</v>
      </c>
      <c r="K59" s="187"/>
    </row>
    <row r="60" spans="2:11" s="28" customFormat="1" ht="38.25" x14ac:dyDescent="0.25">
      <c r="B60" s="21" t="str">
        <f>'PLANILHA ORÇAMENTÁRIA'!B60</f>
        <v>4.12</v>
      </c>
      <c r="C60" s="21">
        <f>'PLANILHA ORÇAMENTÁRIA'!C60</f>
        <v>97087</v>
      </c>
      <c r="D60" s="36" t="str">
        <f>'PLANILHA ORÇAMENTÁRIA'!D60</f>
        <v>CAMADA SEPARADORA PARA EXECUÇÃO DE RADIER, PISO DE CONCRETO OU LAJE SOBRE SOLO, EM LONA PLÁSTICA. AF_09/2021</v>
      </c>
      <c r="E60" s="445" t="s">
        <v>1377</v>
      </c>
      <c r="F60" s="445"/>
      <c r="G60" s="445"/>
      <c r="H60" s="445"/>
      <c r="I60" s="205">
        <f>I62/0.35</f>
        <v>523.83000000000004</v>
      </c>
      <c r="J60" s="21" t="str">
        <f>'PLANILHA ORÇAMENTÁRIA'!E60</f>
        <v>M2</v>
      </c>
      <c r="K60" s="187"/>
    </row>
    <row r="61" spans="2:11" s="28" customFormat="1" ht="38.25" x14ac:dyDescent="0.25">
      <c r="B61" s="21" t="str">
        <f>'PLANILHA ORÇAMENTÁRIA'!B61</f>
        <v>4.13</v>
      </c>
      <c r="C61" s="21">
        <f>'PLANILHA ORÇAMENTÁRIA'!C61</f>
        <v>92770</v>
      </c>
      <c r="D61" s="36" t="str">
        <f>'PLANILHA ORÇAMENTÁRIA'!D61</f>
        <v>ARMAÇÃO DE LAJE DE ESTRUTURA CONVENCIONAL DE CONCRETO ARMADO UTILIZANDO AÇO CA-50 DE 8,0 MM - MONTAGEM. AF_06/2022</v>
      </c>
      <c r="E61" s="445" t="s">
        <v>1373</v>
      </c>
      <c r="F61" s="445"/>
      <c r="G61" s="445"/>
      <c r="H61" s="445"/>
      <c r="I61" s="205">
        <f>2*4702.3</f>
        <v>9404.6</v>
      </c>
      <c r="J61" s="21" t="str">
        <f>'PLANILHA ORÇAMENTÁRIA'!E61</f>
        <v>KG</v>
      </c>
      <c r="K61" s="187"/>
    </row>
    <row r="62" spans="2:11" s="28" customFormat="1" ht="38.25" x14ac:dyDescent="0.25">
      <c r="B62" s="21" t="str">
        <f>'PLANILHA ORÇAMENTÁRIA'!B62</f>
        <v>4.14</v>
      </c>
      <c r="C62" s="21">
        <f>'PLANILHA ORÇAMENTÁRIA'!C62</f>
        <v>97096</v>
      </c>
      <c r="D62" s="36" t="str">
        <f>'PLANILHA ORÇAMENTÁRIA'!D62</f>
        <v>CONCRETAGEM DE RADIER, PISO DE CONCRETO OU LAJE SOBRE SOLO, FCK 30 MPA - LANÇAMENTO, ADENSAMENTO E ACABAMENTO. AF_09/2021</v>
      </c>
      <c r="E62" s="445" t="s">
        <v>1361</v>
      </c>
      <c r="F62" s="445"/>
      <c r="G62" s="445"/>
      <c r="H62" s="445"/>
      <c r="I62" s="205">
        <v>183.34</v>
      </c>
      <c r="J62" s="21" t="str">
        <f>'PLANILHA ORÇAMENTÁRIA'!E62</f>
        <v>M3</v>
      </c>
      <c r="K62" s="187"/>
    </row>
    <row r="63" spans="2:11" s="28" customFormat="1" x14ac:dyDescent="0.25">
      <c r="B63" s="447" t="str">
        <f>'PLANILHA ORÇAMENTÁRIA'!B63</f>
        <v>ARMADURA DE PUNÇÃO</v>
      </c>
      <c r="C63" s="447"/>
      <c r="D63" s="447"/>
      <c r="E63" s="447"/>
      <c r="F63" s="447"/>
      <c r="G63" s="447"/>
      <c r="H63" s="447"/>
      <c r="I63" s="447"/>
      <c r="J63" s="447"/>
      <c r="K63" s="187"/>
    </row>
    <row r="64" spans="2:11" s="28" customFormat="1" ht="25.5" x14ac:dyDescent="0.25">
      <c r="B64" s="21" t="str">
        <f>'PLANILHA ORÇAMENTÁRIA'!B64</f>
        <v>4.15</v>
      </c>
      <c r="C64" s="21">
        <f>'PLANILHA ORÇAMENTÁRIA'!C64</f>
        <v>92882</v>
      </c>
      <c r="D64" s="36" t="str">
        <f>'PLANILHA ORÇAMENTÁRIA'!D64</f>
        <v>ARMAÇÃO UTILIZANDO AÇO CA-25 DE 6,3 MM - MONTAGEM. AF_06/2022</v>
      </c>
      <c r="E64" s="445" t="s">
        <v>1374</v>
      </c>
      <c r="F64" s="445"/>
      <c r="G64" s="445"/>
      <c r="H64" s="445"/>
      <c r="I64" s="205">
        <f>((148*0.306)+(904*0.276)+(45*0.276)+(20*0.306))*0.245*1.1</f>
        <v>84.44</v>
      </c>
      <c r="J64" s="21" t="s">
        <v>253</v>
      </c>
      <c r="K64" s="187"/>
    </row>
    <row r="65" spans="2:11" s="28" customFormat="1" ht="38.25" x14ac:dyDescent="0.25">
      <c r="B65" s="21" t="str">
        <f>'PLANILHA ORÇAMENTÁRIA'!B65</f>
        <v>4.16</v>
      </c>
      <c r="C65" s="21">
        <f>'PLANILHA ORÇAMENTÁRIA'!C65</f>
        <v>40424</v>
      </c>
      <c r="D65" s="36" t="str">
        <f>'PLANILHA ORÇAMENTÁRIA'!D65</f>
        <v>CHAPA DE ACO CARBONO LAMINADO A QUENTE, QUALIDADE ESTRUTURAL, BITOLA 3/16", E =4,75 MM (37,29 KG/M2)</v>
      </c>
      <c r="E65" s="445" t="s">
        <v>1375</v>
      </c>
      <c r="F65" s="445"/>
      <c r="G65" s="445"/>
      <c r="H65" s="445"/>
      <c r="I65" s="205">
        <f>37.29*((0.385*0.025)+(0.505*0.025))*1.1</f>
        <v>0.91</v>
      </c>
      <c r="J65" s="21" t="s">
        <v>253</v>
      </c>
      <c r="K65" s="187"/>
    </row>
    <row r="66" spans="2:11" s="28" customFormat="1" ht="25.5" x14ac:dyDescent="0.25">
      <c r="B66" s="21" t="str">
        <f>'PLANILHA ORÇAMENTÁRIA'!B66</f>
        <v>4.17</v>
      </c>
      <c r="C66" s="21">
        <f>'PLANILHA ORÇAMENTÁRIA'!C66</f>
        <v>98746</v>
      </c>
      <c r="D66" s="36" t="str">
        <f>'PLANILHA ORÇAMENTÁRIA'!D66</f>
        <v>SOLDA DE TOPO EM CHAPA/PERFIL/TUBO DE AÇO CHANFRADO, ESPESSURA=1/4''. AF_06/2018</v>
      </c>
      <c r="E66" s="445" t="s">
        <v>1376</v>
      </c>
      <c r="F66" s="445"/>
      <c r="G66" s="445"/>
      <c r="H66" s="445"/>
      <c r="I66" s="205">
        <f>(148+904+45+20)*0.0063*1.1</f>
        <v>7.74</v>
      </c>
      <c r="J66" s="21" t="s">
        <v>248</v>
      </c>
      <c r="K66" s="187"/>
    </row>
    <row r="67" spans="2:11" x14ac:dyDescent="0.25">
      <c r="B67" s="448"/>
      <c r="C67" s="448"/>
      <c r="D67" s="448"/>
      <c r="E67" s="448"/>
      <c r="F67" s="448"/>
      <c r="G67" s="448"/>
      <c r="H67" s="448"/>
      <c r="I67" s="448"/>
      <c r="J67" s="448"/>
    </row>
    <row r="68" spans="2:11" x14ac:dyDescent="0.25">
      <c r="B68" s="449" t="s">
        <v>26</v>
      </c>
      <c r="C68" s="449"/>
      <c r="D68" s="450" t="s">
        <v>22</v>
      </c>
      <c r="E68" s="450"/>
      <c r="F68" s="450"/>
      <c r="G68" s="450"/>
      <c r="H68" s="450"/>
      <c r="I68" s="450"/>
      <c r="J68" s="450"/>
    </row>
    <row r="69" spans="2:11" x14ac:dyDescent="0.25">
      <c r="B69" s="447" t="str">
        <f>'PLANILHA ORÇAMENTÁRIA'!B69</f>
        <v>LAJES</v>
      </c>
      <c r="C69" s="447"/>
      <c r="D69" s="447"/>
      <c r="E69" s="447"/>
      <c r="F69" s="447"/>
      <c r="G69" s="447"/>
      <c r="H69" s="447"/>
      <c r="I69" s="447"/>
      <c r="J69" s="447"/>
    </row>
    <row r="70" spans="2:11" ht="38.25" x14ac:dyDescent="0.25">
      <c r="B70" s="21" t="str">
        <f>'PLANILHA ORÇAMENTÁRIA'!B70</f>
        <v>5.1</v>
      </c>
      <c r="C70" s="21" t="str">
        <f>'PLANILHA ORÇAMENTÁRIA'!C70</f>
        <v>PMA CIV 013</v>
      </c>
      <c r="D70" s="26" t="str">
        <f>'PLANILHA ORÇAMENTÁRIA'!D70</f>
        <v>LAJE PRÉ-MOLDADA UNIDIRECIONAL, BIAPOIADA, ENCHIMENTO EM EPS, VIGOTA TRELIÇADA, ALTURA TOTAL DA LAJE (ENCHIMENTO+CAPA) = (8CM+7CM)</v>
      </c>
      <c r="E70" s="445" t="s">
        <v>1383</v>
      </c>
      <c r="F70" s="445"/>
      <c r="G70" s="445"/>
      <c r="H70" s="445"/>
      <c r="I70" s="207">
        <f>28.02/0.07</f>
        <v>400.29</v>
      </c>
      <c r="J70" s="21" t="s">
        <v>251</v>
      </c>
    </row>
    <row r="71" spans="2:11" x14ac:dyDescent="0.25">
      <c r="B71" s="447" t="str">
        <f>'PLANILHA ORÇAMENTÁRIA'!B71</f>
        <v>VIGAS</v>
      </c>
      <c r="C71" s="447"/>
      <c r="D71" s="447"/>
      <c r="E71" s="447"/>
      <c r="F71" s="447"/>
      <c r="G71" s="447"/>
      <c r="H71" s="447"/>
      <c r="I71" s="447"/>
      <c r="J71" s="447"/>
    </row>
    <row r="72" spans="2:11" ht="38.25" x14ac:dyDescent="0.25">
      <c r="B72" s="21" t="str">
        <f>'PLANILHA ORÇAMENTÁRIA'!B72</f>
        <v>5.2</v>
      </c>
      <c r="C72" s="21">
        <f>'PLANILHA ORÇAMENTÁRIA'!C72</f>
        <v>92476</v>
      </c>
      <c r="D72" s="36" t="str">
        <f>'PLANILHA ORÇAMENTÁRIA'!D72</f>
        <v>MONTAGEM E DESMONTAGEM DE FÔRMA DE VIGA, ESCORAMENTO METÁLICO, PÉ-DIREITO SIMPLES, EM CHAPA DE MADEIRA PLASTIFICADA, 14 UTILIZAÇÕES. AF_09/2020</v>
      </c>
      <c r="E72" s="445" t="s">
        <v>1384</v>
      </c>
      <c r="F72" s="445"/>
      <c r="G72" s="445"/>
      <c r="H72" s="445"/>
      <c r="I72" s="205">
        <f>198.69+140.19</f>
        <v>338.88</v>
      </c>
      <c r="J72" s="48" t="s">
        <v>251</v>
      </c>
    </row>
    <row r="73" spans="2:11" ht="38.25" x14ac:dyDescent="0.25">
      <c r="B73" s="21" t="str">
        <f>'PLANILHA ORÇAMENTÁRIA'!B73</f>
        <v>5.3</v>
      </c>
      <c r="C73" s="21">
        <f>'PLANILHA ORÇAMENTÁRIA'!C73</f>
        <v>92759</v>
      </c>
      <c r="D73" s="36" t="str">
        <f>'PLANILHA ORÇAMENTÁRIA'!D73</f>
        <v>ARMAÇÃO DE PILAR OU VIGA DE ESTRUTURA CONVENCIONAL DE CONCRETO ARMADO UTILIZANDO AÇO CA-60 DE 5,0 MM - MONTAGEM. AF_06/2022</v>
      </c>
      <c r="E73" s="445" t="s">
        <v>1385</v>
      </c>
      <c r="F73" s="445"/>
      <c r="G73" s="445"/>
      <c r="H73" s="445"/>
      <c r="I73" s="205">
        <f>187+128.7</f>
        <v>315.7</v>
      </c>
      <c r="J73" s="48" t="s">
        <v>253</v>
      </c>
    </row>
    <row r="74" spans="2:11" ht="38.25" x14ac:dyDescent="0.25">
      <c r="B74" s="21" t="str">
        <f>'PLANILHA ORÇAMENTÁRIA'!B74</f>
        <v>5.4</v>
      </c>
      <c r="C74" s="21">
        <f>'PLANILHA ORÇAMENTÁRIA'!C74</f>
        <v>92760</v>
      </c>
      <c r="D74" s="36" t="str">
        <f>'PLANILHA ORÇAMENTÁRIA'!D74</f>
        <v>ARMAÇÃO DE PILAR OU VIGA DE ESTRUTURA CONVENCIONAL DE CONCRETO ARMADO UTILIZANDO AÇO CA-50 DE 6,3 MM - MONTAGEM. AF_06/2022</v>
      </c>
      <c r="E74" s="445" t="s">
        <v>1386</v>
      </c>
      <c r="F74" s="445"/>
      <c r="G74" s="445"/>
      <c r="H74" s="445"/>
      <c r="I74" s="205">
        <f>24.1+10.6</f>
        <v>34.700000000000003</v>
      </c>
      <c r="J74" s="48" t="s">
        <v>253</v>
      </c>
    </row>
    <row r="75" spans="2:11" ht="38.25" x14ac:dyDescent="0.25">
      <c r="B75" s="21" t="str">
        <f>'PLANILHA ORÇAMENTÁRIA'!B75</f>
        <v>5.5</v>
      </c>
      <c r="C75" s="21">
        <f>'PLANILHA ORÇAMENTÁRIA'!C75</f>
        <v>92761</v>
      </c>
      <c r="D75" s="36" t="str">
        <f>'PLANILHA ORÇAMENTÁRIA'!D75</f>
        <v>ARMAÇÃO DE PILAR OU VIGA DE ESTRUTURA CONVENCIONAL DE CONCRETO ARMADO UTILIZANDO AÇO CA-50 DE 8,0 MM - MONTAGEM. AF_06/2022</v>
      </c>
      <c r="E75" s="445" t="s">
        <v>1387</v>
      </c>
      <c r="F75" s="445"/>
      <c r="G75" s="445"/>
      <c r="H75" s="445"/>
      <c r="I75" s="205">
        <f>309.1+331.3</f>
        <v>640.4</v>
      </c>
      <c r="J75" s="48" t="s">
        <v>253</v>
      </c>
    </row>
    <row r="76" spans="2:11" ht="38.25" x14ac:dyDescent="0.25">
      <c r="B76" s="21" t="str">
        <f>'PLANILHA ORÇAMENTÁRIA'!B76</f>
        <v>5.6</v>
      </c>
      <c r="C76" s="21">
        <f>'PLANILHA ORÇAMENTÁRIA'!C76</f>
        <v>92762</v>
      </c>
      <c r="D76" s="36" t="str">
        <f>'PLANILHA ORÇAMENTÁRIA'!D76</f>
        <v>ARMAÇÃO DE PILAR OU VIGA DE ESTRUTURA CONVENCIONAL DE CONCRETO ARMADO UTILIZANDO AÇO CA-50 DE 10,0 MM - MONTAGEM. AF_06/2022</v>
      </c>
      <c r="E76" s="445" t="s">
        <v>1388</v>
      </c>
      <c r="F76" s="445"/>
      <c r="G76" s="445"/>
      <c r="H76" s="445"/>
      <c r="I76" s="205">
        <f>121.5+13.8</f>
        <v>135.30000000000001</v>
      </c>
      <c r="J76" s="48" t="s">
        <v>253</v>
      </c>
    </row>
    <row r="77" spans="2:11" ht="38.25" x14ac:dyDescent="0.25">
      <c r="B77" s="21" t="str">
        <f>'PLANILHA ORÇAMENTÁRIA'!B77</f>
        <v>5.7</v>
      </c>
      <c r="C77" s="21">
        <f>'PLANILHA ORÇAMENTÁRIA'!C77</f>
        <v>92763</v>
      </c>
      <c r="D77" s="36" t="str">
        <f>'PLANILHA ORÇAMENTÁRIA'!D77</f>
        <v>ARMAÇÃO DE PILAR OU VIGA DE ESTRUTURA CONVENCIONAL DE CONCRETO ARMADO UTILIZANDO AÇO CA-50 DE 12,5 MM - MONTAGEM. AF_06/2022</v>
      </c>
      <c r="E77" s="445" t="s">
        <v>1389</v>
      </c>
      <c r="F77" s="445"/>
      <c r="G77" s="445"/>
      <c r="H77" s="445"/>
      <c r="I77" s="205">
        <f>100.6+31.5</f>
        <v>132.1</v>
      </c>
      <c r="J77" s="48" t="s">
        <v>253</v>
      </c>
    </row>
    <row r="78" spans="2:11" ht="38.25" x14ac:dyDescent="0.25">
      <c r="B78" s="21" t="str">
        <f>'PLANILHA ORÇAMENTÁRIA'!B78</f>
        <v>5.8</v>
      </c>
      <c r="C78" s="21">
        <f>'PLANILHA ORÇAMENTÁRIA'!C78</f>
        <v>92764</v>
      </c>
      <c r="D78" s="36" t="str">
        <f>'PLANILHA ORÇAMENTÁRIA'!D78</f>
        <v>ARMAÇÃO DE PILAR OU VIGA DE ESTRUTURA CONVENCIONAL DE CONCRETO ARMADO UTILIZANDO AÇO CA-50 DE 16,0 MM - MONTAGEM. AF_06/2022</v>
      </c>
      <c r="E78" s="445" t="s">
        <v>1390</v>
      </c>
      <c r="F78" s="445"/>
      <c r="G78" s="445"/>
      <c r="H78" s="445"/>
      <c r="I78" s="205">
        <f>60.1+33.4</f>
        <v>93.5</v>
      </c>
      <c r="J78" s="48" t="s">
        <v>253</v>
      </c>
    </row>
    <row r="79" spans="2:11" ht="51" x14ac:dyDescent="0.25">
      <c r="B79" s="21" t="str">
        <f>'PLANILHA ORÇAMENTÁRIA'!B79</f>
        <v>5.9</v>
      </c>
      <c r="C79" s="21">
        <f>'PLANILHA ORÇAMENTÁRIA'!C79</f>
        <v>103675</v>
      </c>
      <c r="D79" s="36" t="str">
        <f>'PLANILHA ORÇAMENTÁRIA'!D79</f>
        <v>CONCRETAGEM DE VIGAS E LAJES, FCK=25 MPA, PARA LAJES MACIÇAS OU NERVURADAS COM USO DE BOMBA - LANÇAMENTO, ADENSAMENTO E ACABAMENTO. AF_02/2022</v>
      </c>
      <c r="E79" s="445" t="s">
        <v>1391</v>
      </c>
      <c r="F79" s="445"/>
      <c r="G79" s="445"/>
      <c r="H79" s="445"/>
      <c r="I79" s="205">
        <f>13.13+9.54</f>
        <v>22.67</v>
      </c>
      <c r="J79" s="48" t="s">
        <v>257</v>
      </c>
    </row>
    <row r="80" spans="2:11" x14ac:dyDescent="0.25">
      <c r="B80" s="447" t="s">
        <v>182</v>
      </c>
      <c r="C80" s="447"/>
      <c r="D80" s="447"/>
      <c r="E80" s="447"/>
      <c r="F80" s="447"/>
      <c r="G80" s="447"/>
      <c r="H80" s="447"/>
      <c r="I80" s="447"/>
      <c r="J80" s="447"/>
    </row>
    <row r="81" spans="2:12" ht="51" x14ac:dyDescent="0.25">
      <c r="B81" s="21" t="str">
        <f>'PLANILHA ORÇAMENTÁRIA'!B81</f>
        <v>5.10</v>
      </c>
      <c r="C81" s="21">
        <f>'PLANILHA ORÇAMENTÁRIA'!C81</f>
        <v>92435</v>
      </c>
      <c r="D81" s="36" t="str">
        <f>'PLANILHA ORÇAMENTÁRIA'!D81</f>
        <v>MONTAGEM E DESMONTAGEM DE FÔRMA DE PILARES RETANGULARES E ESTRUTURAS SIMILARES, PÉ-DIREITO SIMPLES, EM CHAPA DE MADEIRA COMPENSADA PLASTIFICADA, 12 UTILIZAÇÕES. AF_09/2020</v>
      </c>
      <c r="E81" s="445" t="s">
        <v>1361</v>
      </c>
      <c r="F81" s="445"/>
      <c r="G81" s="445"/>
      <c r="H81" s="445"/>
      <c r="I81" s="205">
        <v>183.94</v>
      </c>
      <c r="J81" s="48" t="s">
        <v>251</v>
      </c>
    </row>
    <row r="82" spans="2:12" ht="38.25" x14ac:dyDescent="0.25">
      <c r="B82" s="21" t="str">
        <f>'PLANILHA ORÇAMENTÁRIA'!B82</f>
        <v>5.11</v>
      </c>
      <c r="C82" s="21">
        <f>'PLANILHA ORÇAMENTÁRIA'!C82</f>
        <v>92759</v>
      </c>
      <c r="D82" s="36" t="str">
        <f>'PLANILHA ORÇAMENTÁRIA'!D82</f>
        <v>ARMAÇÃO DE PILAR OU VIGA DE ESTRUTURA CONVENCIONAL DE CONCRETO ARMADO UTILIZANDO AÇO CA-60 DE 5,0 MM - MONTAGEM. AF_06/2022</v>
      </c>
      <c r="E82" s="445" t="s">
        <v>1361</v>
      </c>
      <c r="F82" s="445"/>
      <c r="G82" s="445"/>
      <c r="H82" s="445"/>
      <c r="I82" s="205">
        <v>256</v>
      </c>
      <c r="J82" s="48" t="s">
        <v>253</v>
      </c>
    </row>
    <row r="83" spans="2:12" ht="38.25" x14ac:dyDescent="0.25">
      <c r="B83" s="21" t="str">
        <f>'PLANILHA ORÇAMENTÁRIA'!B83</f>
        <v>5.12</v>
      </c>
      <c r="C83" s="21">
        <f>'PLANILHA ORÇAMENTÁRIA'!C83</f>
        <v>92762</v>
      </c>
      <c r="D83" s="36" t="str">
        <f>'PLANILHA ORÇAMENTÁRIA'!D83</f>
        <v>ARMAÇÃO DE PILAR OU VIGA DE ESTRUTURA CONVENCIONAL DE CONCRETO ARMADO UTILIZANDO AÇO CA-50 DE 10,0 MM - MONTAGEM. AF_06/2022</v>
      </c>
      <c r="E83" s="445" t="s">
        <v>1361</v>
      </c>
      <c r="F83" s="445"/>
      <c r="G83" s="445"/>
      <c r="H83" s="445"/>
      <c r="I83" s="205">
        <v>541.79999999999995</v>
      </c>
      <c r="J83" s="48" t="s">
        <v>253</v>
      </c>
    </row>
    <row r="84" spans="2:12" ht="38.25" x14ac:dyDescent="0.25">
      <c r="B84" s="21" t="str">
        <f>'PLANILHA ORÇAMENTÁRIA'!B84</f>
        <v>5.13</v>
      </c>
      <c r="C84" s="21">
        <f>'PLANILHA ORÇAMENTÁRIA'!C84</f>
        <v>92763</v>
      </c>
      <c r="D84" s="36" t="str">
        <f>'PLANILHA ORÇAMENTÁRIA'!D84</f>
        <v>ARMAÇÃO DE PILAR OU VIGA DE ESTRUTURA CONVENCIONAL DE CONCRETO ARMADO UTILIZANDO AÇO CA-50 DE 12,5 MM - MONTAGEM. AF_06/2022</v>
      </c>
      <c r="E84" s="445" t="s">
        <v>1361</v>
      </c>
      <c r="F84" s="445"/>
      <c r="G84" s="445"/>
      <c r="H84" s="445"/>
      <c r="I84" s="205">
        <v>20.2</v>
      </c>
      <c r="J84" s="48" t="s">
        <v>253</v>
      </c>
    </row>
    <row r="85" spans="2:12" ht="38.25" x14ac:dyDescent="0.25">
      <c r="B85" s="21" t="str">
        <f>'PLANILHA ORÇAMENTÁRIA'!B85</f>
        <v>5.14</v>
      </c>
      <c r="C85" s="21">
        <f>'PLANILHA ORÇAMENTÁRIA'!C85</f>
        <v>103672</v>
      </c>
      <c r="D85" s="36" t="str">
        <f>'PLANILHA ORÇAMENTÁRIA'!D85</f>
        <v>CONCRETAGEM DE PILARES, FCK = 25 MPA, COM USO DE BOMBA - LANÇAMENTO, ADENSAMENTO E ACABAMENTO. AF_02/2022</v>
      </c>
      <c r="E85" s="445" t="s">
        <v>1361</v>
      </c>
      <c r="F85" s="445"/>
      <c r="G85" s="445"/>
      <c r="H85" s="445"/>
      <c r="I85" s="205">
        <v>10.18</v>
      </c>
      <c r="J85" s="48" t="s">
        <v>257</v>
      </c>
    </row>
    <row r="86" spans="2:12" x14ac:dyDescent="0.25">
      <c r="B86" s="448"/>
      <c r="C86" s="448"/>
      <c r="D86" s="448"/>
      <c r="E86" s="448"/>
      <c r="F86" s="448"/>
      <c r="G86" s="448"/>
      <c r="H86" s="448"/>
      <c r="I86" s="448"/>
      <c r="J86" s="448"/>
    </row>
    <row r="87" spans="2:12" x14ac:dyDescent="0.25">
      <c r="B87" s="449" t="s">
        <v>28</v>
      </c>
      <c r="C87" s="449"/>
      <c r="D87" s="450" t="s">
        <v>27</v>
      </c>
      <c r="E87" s="450"/>
      <c r="F87" s="450"/>
      <c r="G87" s="450"/>
      <c r="H87" s="450"/>
      <c r="I87" s="450"/>
      <c r="J87" s="450"/>
    </row>
    <row r="88" spans="2:12" ht="51" x14ac:dyDescent="0.25">
      <c r="B88" s="21" t="str">
        <f>'PLANILHA ORÇAMENTÁRIA'!B88</f>
        <v>6.1</v>
      </c>
      <c r="C88" s="21">
        <f>'PLANILHA ORÇAMENTÁRIA'!C88</f>
        <v>103328</v>
      </c>
      <c r="D88" s="31" t="str">
        <f>'PLANILHA ORÇAMENTÁRIA'!D88</f>
        <v>ALVENARIA DE VEDAÇÃO DE BLOCOS CERÂMICOS FURADOS NA HORIZONTAL DE 9X19X19 CM (ESPESSURA 9 CM) E ARGAMASSA DE ASSENTAMENTO COM PREPARO EM BETONEIRA. AF_12/2021</v>
      </c>
      <c r="E88" s="445" t="s">
        <v>958</v>
      </c>
      <c r="F88" s="445"/>
      <c r="G88" s="445"/>
      <c r="H88" s="445"/>
      <c r="I88" s="43">
        <f>((5.77+(3.52*5)+(2.86*2)+62.27+(3.15*3)+5.45+9.7+(6.29*2)+7.83+(4*2)+3.65+10.32+1.3+10.38+14.58+5.6+4+2.94+2.15+1.84+3.57+(4*4.75)+(2*6.28)+(2*2.48)+6.22+3.95+4.24+2.33+1.58)*3.2)-93.52</f>
        <v>737.00800000000004</v>
      </c>
      <c r="J88" s="23" t="str">
        <f>'PLANILHA ORÇAMENTÁRIA'!E88</f>
        <v>M2</v>
      </c>
    </row>
    <row r="89" spans="2:12" ht="51" x14ac:dyDescent="0.25">
      <c r="B89" s="21" t="str">
        <f>'PLANILHA ORÇAMENTÁRIA'!B89</f>
        <v>6.2</v>
      </c>
      <c r="C89" s="21">
        <f>'PLANILHA ORÇAMENTÁRIA'!C89</f>
        <v>103326</v>
      </c>
      <c r="D89" s="31" t="str">
        <f>'PLANILHA ORÇAMENTÁRIA'!D89</f>
        <v>ALVENARIA DE VEDAÇÃO DE BLOCOS CERÂMICOS FURADOS NA VERTICAL DE 19X19X39 CM (ESPESSURA 19 CM) E ARGAMASSA DE ASSENTAMENTO COM PREPARO EM BETONEIRA. AF_12/2021</v>
      </c>
      <c r="E89" s="445" t="s">
        <v>957</v>
      </c>
      <c r="F89" s="445"/>
      <c r="G89" s="445"/>
      <c r="H89" s="445"/>
      <c r="I89" s="45">
        <f>((23.47+46.63+10.72+9.1+2.95)*3.2)-((8*0.9*2.1)+(2.1*2.1)+(3.2*2.1))</f>
        <v>270.93</v>
      </c>
      <c r="J89" s="23" t="str">
        <f>'PLANILHA ORÇAMENTÁRIA'!E89</f>
        <v>M2</v>
      </c>
    </row>
    <row r="90" spans="2:12" ht="25.5" x14ac:dyDescent="0.25">
      <c r="B90" s="21" t="str">
        <f>'PLANILHA ORÇAMENTÁRIA'!B90</f>
        <v>6.3</v>
      </c>
      <c r="C90" s="21">
        <f>'PLANILHA ORÇAMENTÁRIA'!C90</f>
        <v>93187</v>
      </c>
      <c r="D90" s="31" t="str">
        <f>'PLANILHA ORÇAMENTÁRIA'!D90</f>
        <v>VERGA MOLDADA IN LOCO EM CONCRETO PARA JANELAS COM MAIS DE 1,5 M DE VÃO. AF_03/2016</v>
      </c>
      <c r="E90" s="445" t="s">
        <v>1392</v>
      </c>
      <c r="F90" s="445"/>
      <c r="G90" s="445"/>
      <c r="H90" s="445"/>
      <c r="I90" s="43">
        <f>1.8*26</f>
        <v>46.8</v>
      </c>
      <c r="J90" s="23" t="str">
        <f>'PLANILHA ORÇAMENTÁRIA'!E90</f>
        <v>M</v>
      </c>
      <c r="L90" s="177">
        <f>I89+I88</f>
        <v>1007.94</v>
      </c>
    </row>
    <row r="91" spans="2:12" ht="25.5" x14ac:dyDescent="0.25">
      <c r="B91" s="21" t="str">
        <f>'PLANILHA ORÇAMENTÁRIA'!B91</f>
        <v>6.4</v>
      </c>
      <c r="C91" s="21">
        <f>'PLANILHA ORÇAMENTÁRIA'!C91</f>
        <v>93197</v>
      </c>
      <c r="D91" s="31" t="str">
        <f>'PLANILHA ORÇAMENTÁRIA'!D91</f>
        <v>CONTRAVERGA MOLDADA IN LOCO EM CONCRETO PARA VÃOS DE MAIS DE 1,5 M DE COMPRIMENTO. AF_03/2016</v>
      </c>
      <c r="E91" s="445" t="s">
        <v>961</v>
      </c>
      <c r="F91" s="445"/>
      <c r="G91" s="445"/>
      <c r="H91" s="445"/>
      <c r="I91" s="43">
        <f>2.4*26</f>
        <v>62.4</v>
      </c>
      <c r="J91" s="23" t="str">
        <f>'PLANILHA ORÇAMENTÁRIA'!E91</f>
        <v>M</v>
      </c>
      <c r="L91" s="177"/>
    </row>
    <row r="92" spans="2:12" ht="51" x14ac:dyDescent="0.25">
      <c r="B92" s="21" t="str">
        <f>'PLANILHA ORÇAMENTÁRIA'!B92</f>
        <v>6.5</v>
      </c>
      <c r="C92" s="21">
        <f>'PLANILHA ORÇAMENTÁRIA'!C92</f>
        <v>87878</v>
      </c>
      <c r="D92" s="31" t="str">
        <f>'PLANILHA ORÇAMENTÁRIA'!D92</f>
        <v>CHAPISCO APLICADO TANTO EM PILARES E VIGAS DE CONCRETO COMO EM ALVENARIAS DE PAREDES INTERNAS, COM COLHER DE PEDREIRO. ARGAMASSA TRAÇO 1:3 COM PREPARO MANUAL. AF_06/2014</v>
      </c>
      <c r="E92" s="445" t="s">
        <v>1393</v>
      </c>
      <c r="F92" s="445"/>
      <c r="G92" s="445"/>
      <c r="H92" s="445"/>
      <c r="I92" s="171">
        <f>(I88+I89+I101)*2</f>
        <v>2240.98</v>
      </c>
      <c r="J92" s="23" t="str">
        <f>'PLANILHA ORÇAMENTÁRIA'!E92</f>
        <v>M2</v>
      </c>
      <c r="L92" s="15">
        <f>I93/2</f>
        <v>1120.49</v>
      </c>
    </row>
    <row r="93" spans="2:12" ht="63.75" x14ac:dyDescent="0.25">
      <c r="B93" s="21" t="str">
        <f>'PLANILHA ORÇAMENTÁRIA'!B93</f>
        <v>6.6</v>
      </c>
      <c r="C93" s="21">
        <f>'PLANILHA ORÇAMENTÁRIA'!C93</f>
        <v>87547</v>
      </c>
      <c r="D93" s="31" t="str">
        <f>'PLANILHA ORÇAMENTÁRIA'!D93</f>
        <v>MASSA ÚNICA, PARA RECEBIMENTO DE PINTURA, EM ARGAMASSA TRAÇO 1:2:8, PREPARO MECÂNICO COM BETONEIRA 400L, APLICADA MANUALMENTE EM FACES INTERNAS DE PAREDES, ESPESSURA DE 10MM, COM EXECUÇÃO DE TALISCAS. AF_06/2014</v>
      </c>
      <c r="E93" s="445" t="str">
        <f>E92</f>
        <v>Área de alvenaria(737,008m² +270,93m² +112,55m²)* duas faces</v>
      </c>
      <c r="F93" s="445"/>
      <c r="G93" s="445"/>
      <c r="H93" s="445"/>
      <c r="I93" s="171">
        <f>I92</f>
        <v>2240.98</v>
      </c>
      <c r="J93" s="23" t="str">
        <f>'PLANILHA ORÇAMENTÁRIA'!E93</f>
        <v>M2</v>
      </c>
    </row>
    <row r="94" spans="2:12" ht="25.5" x14ac:dyDescent="0.25">
      <c r="B94" s="21" t="str">
        <f>'PLANILHA ORÇAMENTÁRIA'!B94</f>
        <v>6.7</v>
      </c>
      <c r="C94" s="21">
        <f>'PLANILHA ORÇAMENTÁRIA'!C94</f>
        <v>98555</v>
      </c>
      <c r="D94" s="31" t="str">
        <f>'PLANILHA ORÇAMENTÁRIA'!D94</f>
        <v>IMPERMEABILIZAÇÃO DE SUPERFÍCIE COM ARGAMASSA POLIMÉRICA / MEMBRANA ACRÍLICA, 3 DEMÃOS. AF_06/2018</v>
      </c>
      <c r="E94" s="445" t="str">
        <f>E117</f>
        <v>Área externa: 6,45+58,67+29,62+74,89+2,8+3,2 + empena do telhado: 112,55</v>
      </c>
      <c r="F94" s="445"/>
      <c r="G94" s="445"/>
      <c r="H94" s="445"/>
      <c r="I94" s="171">
        <f>I117</f>
        <v>288.18</v>
      </c>
      <c r="J94" s="23" t="str">
        <f>'PLANILHA ORÇAMENTÁRIA'!E94</f>
        <v>M2</v>
      </c>
    </row>
    <row r="95" spans="2:12" ht="51" x14ac:dyDescent="0.25">
      <c r="B95" s="21" t="str">
        <f>'PLANILHA ORÇAMENTÁRIA'!B95</f>
        <v>6.8</v>
      </c>
      <c r="C95" s="21">
        <f>'PLANILHA ORÇAMENTÁRIA'!C95</f>
        <v>87273</v>
      </c>
      <c r="D95" s="31" t="str">
        <f>'PLANILHA ORÇAMENTÁRIA'!D95</f>
        <v>REVESTIMENTO CERÂMICO PARA PAREDES INTERNAS COM PLACAS TIPO ESMALTADA EXTRA DE DIMENSÕES 33X45 CM APLICADAS EM AMBIENTES DE ÁREA MAIOR QUE 5M² NA ALTURA INTEIRA DAS PAREDES. AF_06/2014AF_06/2014</v>
      </c>
      <c r="E95" s="445" t="s">
        <v>1395</v>
      </c>
      <c r="F95" s="445"/>
      <c r="G95" s="445"/>
      <c r="H95" s="445"/>
      <c r="I95" s="22">
        <v>372.2</v>
      </c>
      <c r="J95" s="23" t="str">
        <f>'PLANILHA ORÇAMENTÁRIA'!E95</f>
        <v>M2</v>
      </c>
    </row>
    <row r="96" spans="2:12" x14ac:dyDescent="0.25">
      <c r="B96" s="448"/>
      <c r="C96" s="448"/>
      <c r="D96" s="448"/>
      <c r="E96" s="448"/>
      <c r="F96" s="448"/>
      <c r="G96" s="448"/>
      <c r="H96" s="448"/>
      <c r="I96" s="448"/>
      <c r="J96" s="448"/>
    </row>
    <row r="97" spans="2:10" x14ac:dyDescent="0.25">
      <c r="B97" s="449" t="s">
        <v>32</v>
      </c>
      <c r="C97" s="449"/>
      <c r="D97" s="450" t="s">
        <v>185</v>
      </c>
      <c r="E97" s="450"/>
      <c r="F97" s="450"/>
      <c r="G97" s="450"/>
      <c r="H97" s="450"/>
      <c r="I97" s="450"/>
      <c r="J97" s="450"/>
    </row>
    <row r="98" spans="2:10" ht="38.25" x14ac:dyDescent="0.25">
      <c r="B98" s="21" t="str">
        <f>'PLANILHA ORÇAMENTÁRIA'!B98</f>
        <v>7.1</v>
      </c>
      <c r="C98" s="21" t="str">
        <f>'PLANILHA ORÇAMENTÁRIA'!C98</f>
        <v>PMA CIV 002</v>
      </c>
      <c r="D98" s="36" t="str">
        <f>'PLANILHA ORÇAMENTÁRIA'!D98</f>
        <v>ESTRUTURA METALICA EM TESOURAS, INCLUSO PINTURA DE ACABAMENTO. EXCLUSIVE FECHAMENTOS METÁLICOS E TELHAS DE COBERTURA -  FORNECIMENTO E INSTALAÇÃO.</v>
      </c>
      <c r="E98" s="445" t="s">
        <v>1402</v>
      </c>
      <c r="F98" s="445"/>
      <c r="G98" s="445"/>
      <c r="H98" s="445"/>
      <c r="I98" s="22">
        <f>767.64+26.86</f>
        <v>794.5</v>
      </c>
      <c r="J98" s="334" t="s">
        <v>251</v>
      </c>
    </row>
    <row r="99" spans="2:10" ht="25.5" x14ac:dyDescent="0.25">
      <c r="B99" s="21" t="str">
        <f>'PLANILHA ORÇAMENTÁRIA'!B99</f>
        <v>7.2</v>
      </c>
      <c r="C99" s="21">
        <f>'PLANILHA ORÇAMENTÁRIA'!C99</f>
        <v>94216</v>
      </c>
      <c r="D99" s="36" t="str">
        <f>'PLANILHA ORÇAMENTÁRIA'!D99</f>
        <v>TELHAMENTO COM TELHA METÁLICA TERMOACÚSTICA E = 30 MM, COM ATÉ 2 ÁGUAS, INCLUSO IÇAMENTO. AF_07/2019</v>
      </c>
      <c r="E99" s="445" t="s">
        <v>1398</v>
      </c>
      <c r="F99" s="445"/>
      <c r="G99" s="445"/>
      <c r="H99" s="445"/>
      <c r="I99" s="22">
        <f>767.64+26.86</f>
        <v>794.5</v>
      </c>
      <c r="J99" s="334" t="s">
        <v>251</v>
      </c>
    </row>
    <row r="100" spans="2:10" ht="25.5" x14ac:dyDescent="0.25">
      <c r="B100" s="21" t="str">
        <f>'PLANILHA ORÇAMENTÁRIA'!B100</f>
        <v>7.3</v>
      </c>
      <c r="C100" s="21">
        <f>'PLANILHA ORÇAMENTÁRIA'!C100</f>
        <v>94213</v>
      </c>
      <c r="D100" s="36" t="str">
        <f>'PLANILHA ORÇAMENTÁRIA'!D100</f>
        <v>TELHAMENTO COM TELHA DE AÇO/ALUMÍNIO E = 0,5 MM, COM ATÉ 2 ÁGUAS, INCLUSO IÇAMENTO. AF_07/2019</v>
      </c>
      <c r="E100" s="445" t="s">
        <v>1398</v>
      </c>
      <c r="F100" s="445"/>
      <c r="G100" s="445"/>
      <c r="H100" s="445"/>
      <c r="I100" s="22">
        <v>20.28</v>
      </c>
      <c r="J100" s="21">
        <f>'MEMO CÁLCULO'!O99</f>
        <v>0</v>
      </c>
    </row>
    <row r="101" spans="2:10" ht="51" x14ac:dyDescent="0.25">
      <c r="B101" s="21" t="str">
        <f>'PLANILHA ORÇAMENTÁRIA'!B101</f>
        <v>7.4</v>
      </c>
      <c r="C101" s="21">
        <f>'PLANILHA ORÇAMENTÁRIA'!C101</f>
        <v>103328</v>
      </c>
      <c r="D101" s="36" t="str">
        <f>'PLANILHA ORÇAMENTÁRIA'!D101</f>
        <v>ALVENARIA DE VEDAÇÃO DE BLOCOS CERÂMICOS FURADOS NA HORIZONTAL DE 9X19X19 CM (ESPESSURA 9 CM) E ARGAMASSA DE ASSENTAMENTO COM PREPARO EM BETONEIRA. AF_12/2021</v>
      </c>
      <c r="E101" s="445" t="s">
        <v>1398</v>
      </c>
      <c r="F101" s="445"/>
      <c r="G101" s="445"/>
      <c r="H101" s="445"/>
      <c r="I101" s="22">
        <v>112.55</v>
      </c>
      <c r="J101" s="21" t="s">
        <v>251</v>
      </c>
    </row>
    <row r="102" spans="2:10" ht="25.5" x14ac:dyDescent="0.25">
      <c r="B102" s="21" t="str">
        <f>'PLANILHA ORÇAMENTÁRIA'!B102</f>
        <v>7.5</v>
      </c>
      <c r="C102" s="21">
        <f>'PLANILHA ORÇAMENTÁRIA'!C102</f>
        <v>96114</v>
      </c>
      <c r="D102" s="36" t="str">
        <f>'PLANILHA ORÇAMENTÁRIA'!D102</f>
        <v>FORRO EM DRYWALL, PARA AMBIENTES COMERCIAIS, INCLUSIVE ESTRUTURA DE FIXAÇÃO. AF_05/2017</v>
      </c>
      <c r="E102" s="445" t="s">
        <v>1399</v>
      </c>
      <c r="F102" s="445"/>
      <c r="G102" s="445"/>
      <c r="H102" s="445"/>
      <c r="I102" s="22">
        <v>434.64</v>
      </c>
      <c r="J102" s="48" t="s">
        <v>251</v>
      </c>
    </row>
    <row r="103" spans="2:10" ht="38.25" x14ac:dyDescent="0.25">
      <c r="B103" s="21" t="str">
        <f>'PLANILHA ORÇAMENTÁRIA'!B103</f>
        <v>7.6</v>
      </c>
      <c r="C103" s="21">
        <f>'PLANILHA ORÇAMENTÁRIA'!C103</f>
        <v>39429</v>
      </c>
      <c r="D103" s="36" t="str">
        <f>'PLANILHA ORÇAMENTÁRIA'!D103</f>
        <v>PERFIL TABICA ABERTA, PERFURADA, FORMATO Z, EM ACO GALVANIZADO NATURAL, LARGURA APROXIMADA 40 MM, PARA ESTRUTURA FORRO DRYWALL</v>
      </c>
      <c r="E103" s="445" t="s">
        <v>1399</v>
      </c>
      <c r="F103" s="445"/>
      <c r="G103" s="445"/>
      <c r="H103" s="445"/>
      <c r="I103" s="22">
        <v>613.1</v>
      </c>
      <c r="J103" s="48" t="s">
        <v>248</v>
      </c>
    </row>
    <row r="104" spans="2:10" x14ac:dyDescent="0.25">
      <c r="B104" s="448"/>
      <c r="C104" s="448"/>
      <c r="D104" s="448"/>
      <c r="E104" s="448"/>
      <c r="F104" s="448"/>
      <c r="G104" s="448"/>
      <c r="H104" s="448"/>
      <c r="I104" s="448"/>
      <c r="J104" s="448"/>
    </row>
    <row r="105" spans="2:10" x14ac:dyDescent="0.25">
      <c r="B105" s="449" t="s">
        <v>34</v>
      </c>
      <c r="C105" s="449"/>
      <c r="D105" s="477" t="s">
        <v>186</v>
      </c>
      <c r="E105" s="477"/>
      <c r="F105" s="477"/>
      <c r="G105" s="477"/>
      <c r="H105" s="477"/>
      <c r="I105" s="477"/>
      <c r="J105" s="477"/>
    </row>
    <row r="106" spans="2:10" ht="63.75" x14ac:dyDescent="0.25">
      <c r="B106" s="48" t="str">
        <f>'PLANILHA ORÇAMENTÁRIA'!B106</f>
        <v>8.1</v>
      </c>
      <c r="C106" s="48">
        <f>'PLANILHA ORÇAMENTÁRIA'!C106</f>
        <v>94438</v>
      </c>
      <c r="D106" s="20" t="str">
        <f>'PLANILHA ORÇAMENTÁRIA'!D106</f>
        <v>(COMPOSIÇÃO REPRESENTATIVA) DO SERVIÇO DE CONTRAPISO EM ARGAMASSA TRAÇO 1:4 (CIMENTO/AREIA), EM BETONEIRA 400 L, ESPESSURA 3 CM ÁREAS SECAS E ÁREAS MOLHADAS, PARA EDIFICAÇÃO  PÚBLICA PADRÃO. AF_11/2014</v>
      </c>
      <c r="E106" s="445" t="s">
        <v>1400</v>
      </c>
      <c r="F106" s="445"/>
      <c r="G106" s="445"/>
      <c r="H106" s="445"/>
      <c r="I106" s="48">
        <v>488.9</v>
      </c>
      <c r="J106" s="23" t="str">
        <f>'PLANILHA ORÇAMENTÁRIA'!E106</f>
        <v>M2</v>
      </c>
    </row>
    <row r="107" spans="2:10" ht="25.5" x14ac:dyDescent="0.25">
      <c r="B107" s="48" t="str">
        <f>'PLANILHA ORÇAMENTÁRIA'!B107</f>
        <v>8.2</v>
      </c>
      <c r="C107" s="48">
        <f>'PLANILHA ORÇAMENTÁRIA'!C107</f>
        <v>98555</v>
      </c>
      <c r="D107" s="20" t="str">
        <f>'PLANILHA ORÇAMENTÁRIA'!D107</f>
        <v>IMPERMEABILIZAÇÃO DE SUPERFÍCIE COM ARGAMASSA POLIMÉRICA/MEMBRANA ACRÍLICA, 3 DEMÃOS. AF_06/2018</v>
      </c>
      <c r="E107" s="445" t="s">
        <v>1400</v>
      </c>
      <c r="F107" s="445"/>
      <c r="G107" s="445"/>
      <c r="H107" s="445"/>
      <c r="I107" s="48">
        <v>488.9</v>
      </c>
      <c r="J107" s="23" t="str">
        <f>'PLANILHA ORÇAMENTÁRIA'!E107</f>
        <v>M2</v>
      </c>
    </row>
    <row r="108" spans="2:10" ht="25.5" x14ac:dyDescent="0.25">
      <c r="B108" s="48" t="str">
        <f>'PLANILHA ORÇAMENTÁRIA'!B108</f>
        <v>8.3</v>
      </c>
      <c r="C108" s="48">
        <f>'PLANILHA ORÇAMENTÁRIA'!C108</f>
        <v>98689</v>
      </c>
      <c r="D108" s="20" t="str">
        <f>'PLANILHA ORÇAMENTÁRIA'!D108</f>
        <v>SOLEIRA EM GRANITO, LARGURA 15 CM, ESPESSURA 2,0 CM. AF_09/2020</v>
      </c>
      <c r="E108" s="445" t="s">
        <v>1400</v>
      </c>
      <c r="F108" s="445"/>
      <c r="G108" s="445"/>
      <c r="H108" s="445"/>
      <c r="I108" s="48">
        <v>6.59</v>
      </c>
      <c r="J108" s="23" t="str">
        <f>'PLANILHA ORÇAMENTÁRIA'!E108</f>
        <v>M</v>
      </c>
    </row>
    <row r="109" spans="2:10" ht="52.9" customHeight="1" x14ac:dyDescent="0.25">
      <c r="B109" s="48" t="str">
        <f>'PLANILHA ORÇAMENTÁRIA'!B109</f>
        <v>8.4</v>
      </c>
      <c r="C109" s="48" t="str">
        <f>'PLANILHA ORÇAMENTÁRIA'!C109</f>
        <v>PMA CIV 006</v>
      </c>
      <c r="D109" s="20" t="str">
        <f>'PLANILHA ORÇAMENTÁRIA'!D109</f>
        <v>RODAPÉ EM PORCELANATO ALTURA 10CM (EMBUTIDO)</v>
      </c>
      <c r="E109" s="445" t="s">
        <v>910</v>
      </c>
      <c r="F109" s="445"/>
      <c r="G109" s="445"/>
      <c r="H109" s="445"/>
      <c r="I109" s="48">
        <f>4.98+7.45+7.22+13.86+11.69+4.98+31.52+7.91+49.27+26.16+19.2+20.42+15.02+11.83+8.8+22.05+12.44+18.33+8.58+7.75+24.54+13.37+18.57+9.76+11.82+13.66+15.3+18.16+17.22+10.85+12.09+6.86+6.86+9+8.99</f>
        <v>506.51</v>
      </c>
      <c r="J109" s="23" t="str">
        <f>'PLANILHA ORÇAMENTÁRIA'!E109</f>
        <v>M</v>
      </c>
    </row>
    <row r="110" spans="2:10" ht="38.25" x14ac:dyDescent="0.25">
      <c r="B110" s="48" t="str">
        <f>'PLANILHA ORÇAMENTÁRIA'!B110</f>
        <v>8.5</v>
      </c>
      <c r="C110" s="48">
        <f>'PLANILHA ORÇAMENTÁRIA'!C110</f>
        <v>87263</v>
      </c>
      <c r="D110" s="20" t="str">
        <f>'PLANILHA ORÇAMENTÁRIA'!D110</f>
        <v>REVESTIMENTO CERÂMICO PARA PISO COM PLACAS TIPO PORCELANATO DE DIMENSÕES 60X60 CM APLICADA EM AMBIENTES DE ÁREA MAIOR QUE 10 M². AF_06/2014</v>
      </c>
      <c r="E110" s="445" t="s">
        <v>1400</v>
      </c>
      <c r="F110" s="445"/>
      <c r="G110" s="445"/>
      <c r="H110" s="445"/>
      <c r="I110" s="48">
        <v>488.9</v>
      </c>
      <c r="J110" s="23" t="str">
        <f>'PLANILHA ORÇAMENTÁRIA'!E110</f>
        <v>M2</v>
      </c>
    </row>
    <row r="111" spans="2:10" x14ac:dyDescent="0.25">
      <c r="B111" s="448"/>
      <c r="C111" s="448"/>
      <c r="D111" s="448"/>
      <c r="E111" s="448"/>
      <c r="F111" s="448"/>
      <c r="G111" s="448"/>
      <c r="H111" s="448"/>
      <c r="I111" s="448"/>
      <c r="J111" s="448"/>
    </row>
    <row r="112" spans="2:10" x14ac:dyDescent="0.25">
      <c r="B112" s="449" t="s">
        <v>65</v>
      </c>
      <c r="C112" s="449"/>
      <c r="D112" s="450" t="s">
        <v>305</v>
      </c>
      <c r="E112" s="450"/>
      <c r="F112" s="450"/>
      <c r="G112" s="450"/>
      <c r="H112" s="450"/>
      <c r="I112" s="450"/>
      <c r="J112" s="450"/>
    </row>
    <row r="113" spans="2:10" ht="25.5" x14ac:dyDescent="0.25">
      <c r="B113" s="21" t="s">
        <v>176</v>
      </c>
      <c r="C113" s="21">
        <f>'PLANILHA ORÇAMENTÁRIA'!C113</f>
        <v>88484</v>
      </c>
      <c r="D113" s="24" t="str">
        <f>'PLANILHA ORÇAMENTÁRIA'!D113</f>
        <v>APLICAÇÃO DE FUNDO SELADOR ACRÍLICO EM TETO, UMA DEMÃO. AF_06/2014</v>
      </c>
      <c r="E113" s="445" t="s">
        <v>1401</v>
      </c>
      <c r="F113" s="445"/>
      <c r="G113" s="445"/>
      <c r="H113" s="445"/>
      <c r="I113" s="22">
        <v>490.87</v>
      </c>
      <c r="J113" s="23" t="s">
        <v>251</v>
      </c>
    </row>
    <row r="114" spans="2:10" ht="25.5" x14ac:dyDescent="0.25">
      <c r="B114" s="48" t="str">
        <f>'PLANILHA ORÇAMENTÁRIA'!B114</f>
        <v>9.4</v>
      </c>
      <c r="C114" s="48">
        <f>'PLANILHA ORÇAMENTÁRIA'!C114</f>
        <v>88485</v>
      </c>
      <c r="D114" s="20" t="str">
        <f>'PLANILHA ORÇAMENTÁRIA'!D114</f>
        <v>APLICAÇÃO DE FUNDO SELADOR ACRÍLICO EM PAREDES, UMA DEMÃO. AF_06/2014</v>
      </c>
      <c r="E114" s="445" t="s">
        <v>1401</v>
      </c>
      <c r="F114" s="445"/>
      <c r="G114" s="445"/>
      <c r="H114" s="445"/>
      <c r="I114" s="33">
        <f>1344.5</f>
        <v>1344.5</v>
      </c>
      <c r="J114" s="33" t="str">
        <f>'PLANILHA ORÇAMENTÁRIA'!E114</f>
        <v>M2</v>
      </c>
    </row>
    <row r="115" spans="2:10" ht="25.5" x14ac:dyDescent="0.25">
      <c r="B115" s="48" t="str">
        <f>'PLANILHA ORÇAMENTÁRIA'!B115</f>
        <v>9.5</v>
      </c>
      <c r="C115" s="48">
        <f>'PLANILHA ORÇAMENTÁRIA'!C115</f>
        <v>88495</v>
      </c>
      <c r="D115" s="20" t="str">
        <f>'PLANILHA ORÇAMENTÁRIA'!D115</f>
        <v>APLICAÇÃO E LIXAMENTO DE MASSA LÁTEX EM PAREDES, UMA DEMÃO. AF_06/2014</v>
      </c>
      <c r="E115" s="445" t="s">
        <v>1401</v>
      </c>
      <c r="F115" s="445"/>
      <c r="G115" s="445"/>
      <c r="H115" s="445"/>
      <c r="I115" s="22">
        <f>I114</f>
        <v>1344.5</v>
      </c>
      <c r="J115" s="33" t="str">
        <f>'PLANILHA ORÇAMENTÁRIA'!E115</f>
        <v>M2</v>
      </c>
    </row>
    <row r="116" spans="2:10" ht="25.5" x14ac:dyDescent="0.25">
      <c r="B116" s="48" t="str">
        <f>'PLANILHA ORÇAMENTÁRIA'!B116</f>
        <v>9.6</v>
      </c>
      <c r="C116" s="48">
        <f>'PLANILHA ORÇAMENTÁRIA'!C116</f>
        <v>88489</v>
      </c>
      <c r="D116" s="20" t="str">
        <f>'PLANILHA ORÇAMENTÁRIA'!D116</f>
        <v>APLICAÇÃO MANUAL DE PINTURA COM TINTA LÁTEX ACRÍLICA EM PAREDES, DUAS DEMÃOS. AF_06/2014</v>
      </c>
      <c r="E116" s="445" t="s">
        <v>1401</v>
      </c>
      <c r="F116" s="445"/>
      <c r="G116" s="445"/>
      <c r="H116" s="445"/>
      <c r="I116" s="22">
        <f>I115</f>
        <v>1344.5</v>
      </c>
      <c r="J116" s="33" t="str">
        <f>'PLANILHA ORÇAMENTÁRIA'!E116</f>
        <v>M2</v>
      </c>
    </row>
    <row r="117" spans="2:10" ht="38.25" x14ac:dyDescent="0.25">
      <c r="B117" s="48" t="str">
        <f>'PLANILHA ORÇAMENTÁRIA'!B117</f>
        <v>9.7</v>
      </c>
      <c r="C117" s="48">
        <f>'PLANILHA ORÇAMENTÁRIA'!C117</f>
        <v>88431</v>
      </c>
      <c r="D117" s="20" t="str">
        <f>'PLANILHA ORÇAMENTÁRIA'!D117</f>
        <v>APLICAÇÃO MANUAL DE PINTURA COM TINTA TEXTURIZADA ACRÍLICA EM PAREDES EXTERNAS DE CASAS, DUAS CORES. AF_06/2014</v>
      </c>
      <c r="E117" s="445" t="s">
        <v>1394</v>
      </c>
      <c r="F117" s="445"/>
      <c r="G117" s="445"/>
      <c r="H117" s="445"/>
      <c r="I117" s="173">
        <f>6.45+58.67+29.62+74.89+2.8+3.2+I101</f>
        <v>288.18</v>
      </c>
      <c r="J117" s="33" t="str">
        <f>'PLANILHA ORÇAMENTÁRIA'!E117</f>
        <v>M2</v>
      </c>
    </row>
    <row r="118" spans="2:10" x14ac:dyDescent="0.25">
      <c r="B118" s="448"/>
      <c r="C118" s="448"/>
      <c r="D118" s="448"/>
      <c r="E118" s="448"/>
      <c r="F118" s="448"/>
      <c r="G118" s="448"/>
      <c r="H118" s="448"/>
      <c r="I118" s="448"/>
      <c r="J118" s="448"/>
    </row>
    <row r="119" spans="2:10" x14ac:dyDescent="0.25">
      <c r="B119" s="449" t="s">
        <v>66</v>
      </c>
      <c r="C119" s="449"/>
      <c r="D119" s="450" t="s">
        <v>267</v>
      </c>
      <c r="E119" s="450"/>
      <c r="F119" s="450"/>
      <c r="G119" s="450"/>
      <c r="H119" s="450"/>
      <c r="I119" s="450"/>
      <c r="J119" s="450"/>
    </row>
    <row r="120" spans="2:10" ht="38.25" x14ac:dyDescent="0.25">
      <c r="B120" s="48" t="str">
        <f>'PLANILHA ORÇAMENTÁRIA'!B120</f>
        <v>10.1</v>
      </c>
      <c r="C120" s="48" t="str">
        <f>'PLANILHA ORÇAMENTÁRIA'!C120</f>
        <v>PMA ESQ 001</v>
      </c>
      <c r="D120" s="20" t="str">
        <f>'PLANILHA ORÇAMENTÁRIA'!D120</f>
        <v>BOX FRONTAL DE CORRER, COM VIDRO TEMPERADO 8 MM, 190X100CM, 1 FOLHA FIXA, 1 FOLHA MÓVEL, PERFIS E FERRAGENS EM ALUMÍNIO. AF_01/2021</v>
      </c>
      <c r="E120" s="445" t="s">
        <v>1403</v>
      </c>
      <c r="F120" s="445"/>
      <c r="G120" s="445"/>
      <c r="H120" s="445"/>
      <c r="I120" s="335">
        <v>2</v>
      </c>
      <c r="J120" s="153" t="s">
        <v>309</v>
      </c>
    </row>
    <row r="121" spans="2:10" ht="38.25" x14ac:dyDescent="0.25">
      <c r="B121" s="48" t="str">
        <f>'PLANILHA ORÇAMENTÁRIA'!B121</f>
        <v>10.2</v>
      </c>
      <c r="C121" s="48" t="str">
        <f>'PLANILHA ORÇAMENTÁRIA'!C121</f>
        <v>PMA ESQ 002</v>
      </c>
      <c r="D121" s="20" t="str">
        <f>'PLANILHA ORÇAMENTÁRIA'!D121</f>
        <v>PORTA EM ALUMÍNIO DE ABRIR COM LAMBRI, COM GUARNIÇÃO, FIXAÇÃO COM PARAFUSOS - FORNECIMENTO E INSTALAÇÃO. AF_12/2019</v>
      </c>
      <c r="E121" s="445" t="s">
        <v>1403</v>
      </c>
      <c r="F121" s="445"/>
      <c r="G121" s="445"/>
      <c r="H121" s="445"/>
      <c r="I121" s="335">
        <v>29</v>
      </c>
      <c r="J121" s="153" t="s">
        <v>309</v>
      </c>
    </row>
    <row r="122" spans="2:10" ht="25.5" x14ac:dyDescent="0.25">
      <c r="B122" s="48" t="str">
        <f>'PLANILHA ORÇAMENTÁRIA'!B122</f>
        <v>10.3</v>
      </c>
      <c r="C122" s="48">
        <f>'PLANILHA ORÇAMENTÁRIA'!C122</f>
        <v>100874</v>
      </c>
      <c r="D122" s="20" t="str">
        <f>'PLANILHA ORÇAMENTÁRIA'!D122</f>
        <v>PUXADOR PARA PCD, FIXADO NA PORTA - FORNECIMENTO E INSTALAÇÃO. AF_01/2020</v>
      </c>
      <c r="E122" s="445" t="s">
        <v>1403</v>
      </c>
      <c r="F122" s="445"/>
      <c r="G122" s="445"/>
      <c r="H122" s="445"/>
      <c r="I122" s="335">
        <v>7</v>
      </c>
      <c r="J122" s="153" t="s">
        <v>309</v>
      </c>
    </row>
    <row r="123" spans="2:10" ht="38.25" x14ac:dyDescent="0.25">
      <c r="B123" s="48" t="str">
        <f>'PLANILHA ORÇAMENTÁRIA'!B123</f>
        <v>10.4</v>
      </c>
      <c r="C123" s="48" t="str">
        <f>'PLANILHA ORÇAMENTÁRIA'!C123</f>
        <v>PMA ESQ 003</v>
      </c>
      <c r="D123" s="20" t="str">
        <f>'PLANILHA ORÇAMENTÁRIA'!D123</f>
        <v>PORTA EM ALUMÍNIO DE ABRIR TIPO VENEZIANA COM GUARNIÇÃO, FIXAÇÃO COM PARAFUSOS - FORNECIMENTO E INSTALAÇÃO. AF_12/2019</v>
      </c>
      <c r="E123" s="445" t="s">
        <v>1403</v>
      </c>
      <c r="F123" s="445"/>
      <c r="G123" s="445"/>
      <c r="H123" s="445"/>
      <c r="I123" s="335">
        <v>4</v>
      </c>
      <c r="J123" s="153" t="s">
        <v>309</v>
      </c>
    </row>
    <row r="124" spans="2:10" ht="51" x14ac:dyDescent="0.25">
      <c r="B124" s="48" t="str">
        <f>'PLANILHA ORÇAMENTÁRIA'!B124</f>
        <v>10.5</v>
      </c>
      <c r="C124" s="48" t="str">
        <f>'PLANILHA ORÇAMENTÁRIA'!C124</f>
        <v>PMA ESQ 004</v>
      </c>
      <c r="D124" s="20" t="str">
        <f>'PLANILHA ORÇAMENTÁRIA'!D124</f>
        <v xml:space="preserve">PORTA EM ALUMÍNIO DE ABRIR COM LAMBRI, PARA VIDRO, COM GUARNIÇÃO, DUAS FOLHAS (120X210CM), FIXAÇÃO COM PARAFUSOS, INCLUSIVE VIDROS - FORNECIMENTO E INSTALAÇÃO. </v>
      </c>
      <c r="E124" s="445" t="s">
        <v>1403</v>
      </c>
      <c r="F124" s="445"/>
      <c r="G124" s="445"/>
      <c r="H124" s="445"/>
      <c r="I124" s="335">
        <v>4</v>
      </c>
      <c r="J124" s="153" t="s">
        <v>309</v>
      </c>
    </row>
    <row r="125" spans="2:10" ht="51" x14ac:dyDescent="0.25">
      <c r="B125" s="48" t="str">
        <f>'PLANILHA ORÇAMENTÁRIA'!B125</f>
        <v>10.6</v>
      </c>
      <c r="C125" s="48" t="str">
        <f>'PLANILHA ORÇAMENTÁRIA'!C125</f>
        <v>PMA ESQ 005</v>
      </c>
      <c r="D125" s="20" t="str">
        <f>'PLANILHA ORÇAMENTÁRIA'!D125</f>
        <v xml:space="preserve">PORTA EM ALUMÍNIO DE ABRIR COM LAMBRI, PARA VIDRO, COM GUARNIÇÃO, DUAS FOLHAS (160X210CM), FIXAÇÃO COM PARAFUSOS, INCLUSIVE VIDROS - FORNECIMENTO E INSTALAÇÃO. </v>
      </c>
      <c r="E125" s="445" t="s">
        <v>1403</v>
      </c>
      <c r="F125" s="445"/>
      <c r="G125" s="445"/>
      <c r="H125" s="445"/>
      <c r="I125" s="335">
        <v>3</v>
      </c>
      <c r="J125" s="153" t="s">
        <v>309</v>
      </c>
    </row>
    <row r="126" spans="2:10" ht="51" x14ac:dyDescent="0.25">
      <c r="B126" s="48" t="str">
        <f>'PLANILHA ORÇAMENTÁRIA'!B126</f>
        <v>10.7</v>
      </c>
      <c r="C126" s="48" t="str">
        <f>'PLANILHA ORÇAMENTÁRIA'!C126</f>
        <v>PMA ESQ 006</v>
      </c>
      <c r="D126" s="20" t="str">
        <f>'PLANILHA ORÇAMENTÁRIA'!D126</f>
        <v xml:space="preserve">PORTA EM ALUMÍNIO COM LAMBRI, DE ABRIR PARA VIDRO, COM GUARNIÇÃO, DUAS FOLHAS (200X210CM), FIXAÇÃO COM PARAFUSOS, INCLUSIVE VIDROS - FORNECIMENTO E INSTALAÇÃO. </v>
      </c>
      <c r="E126" s="445" t="s">
        <v>1403</v>
      </c>
      <c r="F126" s="445"/>
      <c r="G126" s="445"/>
      <c r="H126" s="445"/>
      <c r="I126" s="335">
        <v>1</v>
      </c>
      <c r="J126" s="153" t="s">
        <v>309</v>
      </c>
    </row>
    <row r="127" spans="2:10" ht="38.25" x14ac:dyDescent="0.25">
      <c r="B127" s="48" t="str">
        <f>'PLANILHA ORÇAMENTÁRIA'!B127</f>
        <v>10.8</v>
      </c>
      <c r="C127" s="48" t="str">
        <f>'PLANILHA ORÇAMENTÁRIA'!C127</f>
        <v>PMA ESQ 007</v>
      </c>
      <c r="D127" s="20" t="str">
        <f>'PLANILHA ORÇAMENTÁRIA'!D127</f>
        <v>PORTA DE CORRER EM ALUMINIO (310X210CM), COM QUATRO FOLHAS DE VIDRO, INCLUSO VIDRO LISO INCOLOR, FECHADURA E PUXADOR, COM ALIZAR.</v>
      </c>
      <c r="E127" s="445" t="s">
        <v>1403</v>
      </c>
      <c r="F127" s="445"/>
      <c r="G127" s="445"/>
      <c r="H127" s="445"/>
      <c r="I127" s="335">
        <v>1</v>
      </c>
      <c r="J127" s="153" t="s">
        <v>309</v>
      </c>
    </row>
    <row r="128" spans="2:10" ht="38.25" x14ac:dyDescent="0.25">
      <c r="B128" s="48" t="str">
        <f>'PLANILHA ORÇAMENTÁRIA'!B128</f>
        <v>10.9</v>
      </c>
      <c r="C128" s="48" t="str">
        <f>'PLANILHA ORÇAMENTÁRIA'!C128</f>
        <v>PMA ESQ 008</v>
      </c>
      <c r="D128" s="20" t="str">
        <f>'PLANILHA ORÇAMENTÁRIA'!D128</f>
        <v>PORTA DE ABRIR/GIRO EM MALHA QUADRADA ONDULADA, DUAS FOLHAS(120X211CM)), PINTURA NA COR BRANCA - FORNECIMENTO E INSTALAÇÃO</v>
      </c>
      <c r="E128" s="445" t="s">
        <v>1403</v>
      </c>
      <c r="F128" s="445"/>
      <c r="G128" s="445"/>
      <c r="H128" s="445"/>
      <c r="I128" s="335">
        <v>4</v>
      </c>
      <c r="J128" s="153" t="s">
        <v>309</v>
      </c>
    </row>
    <row r="129" spans="2:10" ht="38.25" x14ac:dyDescent="0.25">
      <c r="B129" s="48" t="str">
        <f>'PLANILHA ORÇAMENTÁRIA'!B129</f>
        <v>10.10</v>
      </c>
      <c r="C129" s="48" t="str">
        <f>'PLANILHA ORÇAMENTÁRIA'!C129</f>
        <v>PMA ESQ 009</v>
      </c>
      <c r="D129" s="20" t="str">
        <f>'PLANILHA ORÇAMENTÁRIA'!D129</f>
        <v>PORTA EM ALUMÍNIO DE ABRIR TIPO VENEZIANA, DUAS FOLHAS (120X210CM), COM GUARNIÇÃO, FIXAÇÃO COM PARAFUSOS - FORNECIMENTO E INSTALAÇÃO. AF_12/2019.</v>
      </c>
      <c r="E129" s="445" t="s">
        <v>1405</v>
      </c>
      <c r="F129" s="445"/>
      <c r="G129" s="445"/>
      <c r="H129" s="445"/>
      <c r="I129" s="335">
        <v>2</v>
      </c>
      <c r="J129" s="153" t="s">
        <v>309</v>
      </c>
    </row>
    <row r="130" spans="2:10" ht="38.25" x14ac:dyDescent="0.25">
      <c r="B130" s="48" t="str">
        <f>'PLANILHA ORÇAMENTÁRIA'!B130</f>
        <v>10.11</v>
      </c>
      <c r="C130" s="48" t="str">
        <f>'PLANILHA ORÇAMENTÁRIA'!C130</f>
        <v>PMA ESQ 010</v>
      </c>
      <c r="D130" s="20" t="str">
        <f>'PLANILHA ORÇAMENTÁRIA'!D130</f>
        <v>PORTA DE ABRIR/GIRO EM MALHA QUADRADA ONDULADA, DUAS FOLHAS (100X110CM), PINTURA NA COR BRANCA - FORNECIMENTO E INSTALAÇÃO</v>
      </c>
      <c r="E130" s="445" t="s">
        <v>1406</v>
      </c>
      <c r="F130" s="445"/>
      <c r="G130" s="445"/>
      <c r="H130" s="445"/>
      <c r="I130" s="335">
        <v>1</v>
      </c>
      <c r="J130" s="153" t="s">
        <v>309</v>
      </c>
    </row>
    <row r="131" spans="2:10" ht="38.25" x14ac:dyDescent="0.25">
      <c r="B131" s="48" t="str">
        <f>'PLANILHA ORÇAMENTÁRIA'!B131</f>
        <v>10.12</v>
      </c>
      <c r="C131" s="48" t="str">
        <f>'PLANILHA ORÇAMENTÁRIA'!C131</f>
        <v>PMA ESQ 011</v>
      </c>
      <c r="D131" s="20" t="str">
        <f>'PLANILHA ORÇAMENTÁRIA'!D131</f>
        <v>PORTA DE ABRIR/GIRO EM MALHA QUADRADA ONDULADA, DUAS FOLHAS (120X110CM), PINTURA NA COR BRANCA - FORNECIMENTO E INSTALAÇÃO</v>
      </c>
      <c r="E131" s="445" t="s">
        <v>1407</v>
      </c>
      <c r="F131" s="445"/>
      <c r="G131" s="445"/>
      <c r="H131" s="445"/>
      <c r="I131" s="335">
        <v>1</v>
      </c>
      <c r="J131" s="153" t="s">
        <v>309</v>
      </c>
    </row>
    <row r="132" spans="2:10" ht="38.25" x14ac:dyDescent="0.25">
      <c r="B132" s="48" t="str">
        <f>'PLANILHA ORÇAMENTÁRIA'!B132</f>
        <v>10.13</v>
      </c>
      <c r="C132" s="48" t="str">
        <f>'PLANILHA ORÇAMENTÁRIA'!C132</f>
        <v>PMA ESQ 012</v>
      </c>
      <c r="D132" s="20" t="str">
        <f>'PLANILHA ORÇAMENTÁRIA'!D132</f>
        <v>CAIXILHO EM MALHA QUADRADA ONDULADA, DUAS FOLHAS (300X165CM), PINTURA NA COR BRANCA - FORNECIMENTO E INSTALAÇÃO</v>
      </c>
      <c r="E132" s="445" t="s">
        <v>1408</v>
      </c>
      <c r="F132" s="445"/>
      <c r="G132" s="445"/>
      <c r="H132" s="445"/>
      <c r="I132" s="47">
        <v>5</v>
      </c>
      <c r="J132" s="153" t="s">
        <v>309</v>
      </c>
    </row>
    <row r="133" spans="2:10" ht="38.25" x14ac:dyDescent="0.25">
      <c r="B133" s="48" t="str">
        <f>'PLANILHA ORÇAMENTÁRIA'!B133</f>
        <v>10.14</v>
      </c>
      <c r="C133" s="48" t="str">
        <f>'PLANILHA ORÇAMENTÁRIA'!C133</f>
        <v>PMA ESQ 013</v>
      </c>
      <c r="D133" s="20" t="str">
        <f>'PLANILHA ORÇAMENTÁRIA'!D133</f>
        <v>CAIXILHO EM MALHA QUADRADA ONDULADA, DUAS FOLHAS (120X165CM), PINTURA NA COR BRANCA - FORNECIMENTO E INSTALAÇÃO</v>
      </c>
      <c r="E133" s="445" t="s">
        <v>1409</v>
      </c>
      <c r="F133" s="445"/>
      <c r="G133" s="445"/>
      <c r="H133" s="445"/>
      <c r="I133" s="47">
        <v>1</v>
      </c>
      <c r="J133" s="153" t="s">
        <v>309</v>
      </c>
    </row>
    <row r="134" spans="2:10" ht="51" x14ac:dyDescent="0.25">
      <c r="B134" s="48" t="str">
        <f>'PLANILHA ORÇAMENTÁRIA'!B134</f>
        <v>10.15</v>
      </c>
      <c r="C134" s="48" t="str">
        <f>'PLANILHA ORÇAMENTÁRIA'!C134</f>
        <v>PMA ESQ 014</v>
      </c>
      <c r="D134" s="20" t="str">
        <f>'PLANILHA ORÇAMENTÁRIA'!D134</f>
        <v>JANELA DE ALUMÍNIO DE CORRER COM 2 FOLHAS PARA VIDROS (80X100CM), COM VIDROS, BATENTE, ACABAMENTO COM ACETATO OU BRILHANTE E FERRAGENS, INCLUSIVE ALIZAR E CONTRAMARCO - FORNECIMENTO E INSTALAÇÃO.</v>
      </c>
      <c r="E134" s="445" t="s">
        <v>1410</v>
      </c>
      <c r="F134" s="445"/>
      <c r="G134" s="445"/>
      <c r="H134" s="445"/>
      <c r="I134" s="335">
        <v>7</v>
      </c>
      <c r="J134" s="153" t="s">
        <v>309</v>
      </c>
    </row>
    <row r="135" spans="2:10" ht="51" x14ac:dyDescent="0.25">
      <c r="B135" s="48" t="str">
        <f>'PLANILHA ORÇAMENTÁRIA'!B135</f>
        <v>10.16</v>
      </c>
      <c r="C135" s="48" t="str">
        <f>'PLANILHA ORÇAMENTÁRIA'!C135</f>
        <v>PMA ESQ 015</v>
      </c>
      <c r="D135" s="20" t="str">
        <f>'PLANILHA ORÇAMENTÁRIA'!D135</f>
        <v>JANELA DE ALUMÍNIO DE CORRER COM 2 FOLHAS PARA VIDROS (100X100CM), COM VIDROS, BATENTE, ACABAMENTO COM ACETATO OU BRILHANTE E FERRAGENS, INCLUSIVE ALIZAR E CONTRAMARCO - FORNECIMENTO E INSTALAÇÃO.</v>
      </c>
      <c r="E135" s="445" t="s">
        <v>1410</v>
      </c>
      <c r="F135" s="445"/>
      <c r="G135" s="445"/>
      <c r="H135" s="445"/>
      <c r="I135" s="335">
        <v>1</v>
      </c>
      <c r="J135" s="153" t="s">
        <v>309</v>
      </c>
    </row>
    <row r="136" spans="2:10" ht="51" x14ac:dyDescent="0.25">
      <c r="B136" s="48" t="str">
        <f>'PLANILHA ORÇAMENTÁRIA'!B136</f>
        <v>10.17</v>
      </c>
      <c r="C136" s="48" t="str">
        <f>'PLANILHA ORÇAMENTÁRIA'!C136</f>
        <v>PMA ESQ 016</v>
      </c>
      <c r="D136" s="20" t="str">
        <f>'PLANILHA ORÇAMENTÁRIA'!D136</f>
        <v>JANELA DE ALUMÍNIO DE CORRER COM 2 FOLHAS PARA VIDROS (100X120CM), COM VIDROS, BATENTE, ACABAMENTO COM ACETATO OU BRILHANTE E FERRAGENS, INCLUSIVE ALIZAR E CONTRAMARCO - FORNECIMENTO E INSTALAÇÃO.</v>
      </c>
      <c r="E136" s="445" t="s">
        <v>1410</v>
      </c>
      <c r="F136" s="445"/>
      <c r="G136" s="445"/>
      <c r="H136" s="445"/>
      <c r="I136" s="335">
        <v>2</v>
      </c>
      <c r="J136" s="153" t="s">
        <v>309</v>
      </c>
    </row>
    <row r="137" spans="2:10" ht="51" x14ac:dyDescent="0.25">
      <c r="B137" s="48" t="str">
        <f>'PLANILHA ORÇAMENTÁRIA'!B137</f>
        <v>10.18</v>
      </c>
      <c r="C137" s="48" t="str">
        <f>'PLANILHA ORÇAMENTÁRIA'!C137</f>
        <v>PMA ESQ 017</v>
      </c>
      <c r="D137" s="20" t="str">
        <f>'PLANILHA ORÇAMENTÁRIA'!D137</f>
        <v>JANELA DE ALUMÍNIO DE CORRER COM 2 FOLHAS PARA VIDROS (100X120CM), PEITORIL (50X120CM), COM VIDROS, BATENTE, ACABAMENTO COM ACETATO OU BRILHANTE E FERRAGENS, INCLUSIVE ALIZAR E CONTRAMARCO</v>
      </c>
      <c r="E137" s="445" t="s">
        <v>1410</v>
      </c>
      <c r="F137" s="445"/>
      <c r="G137" s="445"/>
      <c r="H137" s="445"/>
      <c r="I137" s="335">
        <v>2</v>
      </c>
      <c r="J137" s="153" t="s">
        <v>309</v>
      </c>
    </row>
    <row r="138" spans="2:10" ht="51" x14ac:dyDescent="0.25">
      <c r="B138" s="48" t="str">
        <f>'PLANILHA ORÇAMENTÁRIA'!B138</f>
        <v>10.19</v>
      </c>
      <c r="C138" s="48" t="str">
        <f>'PLANILHA ORÇAMENTÁRIA'!C138</f>
        <v>PMA ESQ 018</v>
      </c>
      <c r="D138" s="20" t="str">
        <f>'PLANILHA ORÇAMENTÁRIA'!D138</f>
        <v>JANELA DE ALUMÍNIO DE CORRER COM 2 FOLHAS PARA VIDROS (100X150CM), COM VIDROS, BATENTE, ACABAMENTO COM ACETATO OU BRILHANTE E FERRAGENS, INCLUSIVE ALIZAR E CONTRAMARCO - FORNECIMENTO E INSTALAÇÃO.</v>
      </c>
      <c r="E138" s="445" t="s">
        <v>1410</v>
      </c>
      <c r="F138" s="445"/>
      <c r="G138" s="445"/>
      <c r="H138" s="445"/>
      <c r="I138" s="335">
        <v>7</v>
      </c>
      <c r="J138" s="153" t="s">
        <v>309</v>
      </c>
    </row>
    <row r="139" spans="2:10" ht="51" x14ac:dyDescent="0.25">
      <c r="B139" s="48" t="str">
        <f>'PLANILHA ORÇAMENTÁRIA'!B139</f>
        <v>10.20</v>
      </c>
      <c r="C139" s="48" t="str">
        <f>'PLANILHA ORÇAMENTÁRIA'!C139</f>
        <v>PMA ESQ 019</v>
      </c>
      <c r="D139" s="20" t="str">
        <f>'PLANILHA ORÇAMENTÁRIA'!D139</f>
        <v>JANELA DE ALUMÍNIO DE CORRER COM 2 FOLHAS PARA VIDROS (100X200CM), COM VIDROS, BATENTE, ACABAMENTO COM ACETATO OU BRILHANTE E FERRAGENS, INCLUSIVE ALIZAR E CONTRAMARCO - FORNECIMENTO E INSTALAÇÃO.</v>
      </c>
      <c r="E139" s="445" t="s">
        <v>1410</v>
      </c>
      <c r="F139" s="445"/>
      <c r="G139" s="445"/>
      <c r="H139" s="445"/>
      <c r="I139" s="335">
        <v>8</v>
      </c>
      <c r="J139" s="153" t="s">
        <v>309</v>
      </c>
    </row>
    <row r="140" spans="2:10" ht="38.25" x14ac:dyDescent="0.25">
      <c r="B140" s="48" t="str">
        <f>'PLANILHA ORÇAMENTÁRIA'!B140</f>
        <v>10.21</v>
      </c>
      <c r="C140" s="48" t="str">
        <f>'PLANILHA ORÇAMENTÁRIA'!C140</f>
        <v>PMA ESQ 020</v>
      </c>
      <c r="D140" s="20" t="str">
        <f>'PLANILHA ORÇAMENTÁRIA'!D140</f>
        <v xml:space="preserve">TELA DE NYLON TIPO MOSQUITEIRA PARA CONTROLE DE PRAGAS 100 X 80 CM, COR BRANCA, MOLDURA EM PERFIL DE ALUMÍNIO </v>
      </c>
      <c r="E140" s="445" t="s">
        <v>1411</v>
      </c>
      <c r="F140" s="445"/>
      <c r="G140" s="445"/>
      <c r="H140" s="445"/>
      <c r="I140" s="335">
        <v>7</v>
      </c>
      <c r="J140" s="153" t="s">
        <v>309</v>
      </c>
    </row>
    <row r="141" spans="2:10" ht="38.25" x14ac:dyDescent="0.25">
      <c r="B141" s="48" t="str">
        <f>'PLANILHA ORÇAMENTÁRIA'!B141</f>
        <v>10.22</v>
      </c>
      <c r="C141" s="48" t="str">
        <f>'PLANILHA ORÇAMENTÁRIA'!C141</f>
        <v>PMA ESQ 021</v>
      </c>
      <c r="D141" s="20" t="str">
        <f>'PLANILHA ORÇAMENTÁRIA'!D141</f>
        <v xml:space="preserve">TELA DE NYLON TIPO MOSQUITEIRA PARA CONTROLE DE PRAGAS 100 X 100 CM, COR BRANCA, MOLDURA EM PERFIL DE ALUMÍNIO </v>
      </c>
      <c r="E141" s="445" t="s">
        <v>1412</v>
      </c>
      <c r="F141" s="445"/>
      <c r="G141" s="445"/>
      <c r="H141" s="445"/>
      <c r="I141" s="335">
        <v>1</v>
      </c>
      <c r="J141" s="153" t="s">
        <v>309</v>
      </c>
    </row>
    <row r="142" spans="2:10" ht="38.25" x14ac:dyDescent="0.25">
      <c r="B142" s="48" t="str">
        <f>'PLANILHA ORÇAMENTÁRIA'!B142</f>
        <v>10.23</v>
      </c>
      <c r="C142" s="48" t="str">
        <f>'PLANILHA ORÇAMENTÁRIA'!C142</f>
        <v>PMA ESQ 022</v>
      </c>
      <c r="D142" s="20" t="str">
        <f>'PLANILHA ORÇAMENTÁRIA'!D142</f>
        <v xml:space="preserve">TELA DE NYLON TIPO MOSQUITEIRA PARA CONTROLE DE PRAGAS 100 X 120 CM, COR BRANCA, MOLDURA EM PERFIL DE ALUMÍNIO </v>
      </c>
      <c r="E142" s="445" t="s">
        <v>1413</v>
      </c>
      <c r="F142" s="445"/>
      <c r="G142" s="445"/>
      <c r="H142" s="445"/>
      <c r="I142" s="335">
        <v>2</v>
      </c>
      <c r="J142" s="153" t="s">
        <v>309</v>
      </c>
    </row>
    <row r="143" spans="2:10" ht="38.25" x14ac:dyDescent="0.25">
      <c r="B143" s="48" t="str">
        <f>'PLANILHA ORÇAMENTÁRIA'!B143</f>
        <v>10.24</v>
      </c>
      <c r="C143" s="48" t="str">
        <f>'PLANILHA ORÇAMENTÁRIA'!C143</f>
        <v>PMA ESQ 023</v>
      </c>
      <c r="D143" s="20" t="str">
        <f>'PLANILHA ORÇAMENTÁRIA'!D143</f>
        <v xml:space="preserve">TELA DE NYLON TIPO MOSQUITEIRA PARA CONTROLE DE PRAGAS 100 X 150 CM, COR BRANCA, MOLDURA EM PERFIL DE ALUMÍNIO </v>
      </c>
      <c r="E143" s="445" t="s">
        <v>1414</v>
      </c>
      <c r="F143" s="445"/>
      <c r="G143" s="445"/>
      <c r="H143" s="445"/>
      <c r="I143" s="335">
        <v>10</v>
      </c>
      <c r="J143" s="153" t="s">
        <v>309</v>
      </c>
    </row>
    <row r="144" spans="2:10" ht="38.25" x14ac:dyDescent="0.25">
      <c r="B144" s="48" t="str">
        <f>'PLANILHA ORÇAMENTÁRIA'!B144</f>
        <v>10.25</v>
      </c>
      <c r="C144" s="48" t="str">
        <f>'PLANILHA ORÇAMENTÁRIA'!C144</f>
        <v>PMA ESQ 024</v>
      </c>
      <c r="D144" s="20" t="str">
        <f>'PLANILHA ORÇAMENTÁRIA'!D144</f>
        <v xml:space="preserve">TELA DE NYLON TIPO MOSQUITEIRA PARA CONTROLE DE PRAGAS 100 X 200 CM, COR BRANCA, MOLDURA EM PERFIL DE ALUMÍNIO </v>
      </c>
      <c r="E144" s="445" t="s">
        <v>1415</v>
      </c>
      <c r="F144" s="445"/>
      <c r="G144" s="445"/>
      <c r="H144" s="445"/>
      <c r="I144" s="335">
        <v>8</v>
      </c>
      <c r="J144" s="153" t="s">
        <v>309</v>
      </c>
    </row>
    <row r="145" spans="2:10" x14ac:dyDescent="0.25">
      <c r="B145" s="448"/>
      <c r="C145" s="448"/>
      <c r="D145" s="448"/>
      <c r="E145" s="448"/>
      <c r="F145" s="448"/>
      <c r="G145" s="448"/>
      <c r="H145" s="448"/>
      <c r="I145" s="448"/>
      <c r="J145" s="448"/>
    </row>
    <row r="146" spans="2:10" x14ac:dyDescent="0.25">
      <c r="B146" s="449" t="s">
        <v>68</v>
      </c>
      <c r="C146" s="449"/>
      <c r="D146" s="450" t="s">
        <v>67</v>
      </c>
      <c r="E146" s="450"/>
      <c r="F146" s="450"/>
      <c r="G146" s="450"/>
      <c r="H146" s="450"/>
      <c r="I146" s="450"/>
      <c r="J146" s="450"/>
    </row>
    <row r="147" spans="2:10" ht="52.9" customHeight="1" x14ac:dyDescent="0.25">
      <c r="B147" s="21" t="str">
        <f>'PLANILHA ORÇAMENTÁRIA'!B147</f>
        <v>11.1</v>
      </c>
      <c r="C147" s="153">
        <f>'PLANILHA ORÇAMENTÁRIA'!C147</f>
        <v>86931</v>
      </c>
      <c r="D147" s="24" t="str">
        <f>'PLANILHA ORÇAMENTÁRIA'!D147</f>
        <v>VASO SANITÁRIO SIFONADO COM CAIXA ACOPLADA LOUÇA BRANCA, INCLUSO ENGATE FLEXÍVEL EM PLÁSTICO BRANCO, 1/2 X 40CM - FORNECIMENTO E INSTALAÇÃO. AF_01/2020</v>
      </c>
      <c r="E147" s="446" t="s">
        <v>1404</v>
      </c>
      <c r="F147" s="446"/>
      <c r="G147" s="446"/>
      <c r="H147" s="446"/>
      <c r="I147" s="207">
        <v>9</v>
      </c>
      <c r="J147" s="153" t="s">
        <v>309</v>
      </c>
    </row>
    <row r="148" spans="2:10" ht="52.9" customHeight="1" x14ac:dyDescent="0.25">
      <c r="B148" s="21" t="str">
        <f>'PLANILHA ORÇAMENTÁRIA'!B148</f>
        <v>11.2</v>
      </c>
      <c r="C148" s="153">
        <f>'PLANILHA ORÇAMENTÁRIA'!C148</f>
        <v>100849</v>
      </c>
      <c r="D148" s="24" t="str">
        <f>'PLANILHA ORÇAMENTÁRIA'!D148</f>
        <v>ASSENTO SANITÁRIO CONVENCIONAL - FORNECIMENTO E INSTALACAO. AF_01/2020</v>
      </c>
      <c r="E148" s="446" t="s">
        <v>1404</v>
      </c>
      <c r="F148" s="446"/>
      <c r="G148" s="446"/>
      <c r="H148" s="446"/>
      <c r="I148" s="207">
        <v>9</v>
      </c>
      <c r="J148" s="153" t="s">
        <v>309</v>
      </c>
    </row>
    <row r="149" spans="2:10" ht="52.9" customHeight="1" x14ac:dyDescent="0.25">
      <c r="B149" s="21" t="str">
        <f>'PLANILHA ORÇAMENTÁRIA'!B149</f>
        <v>11.3</v>
      </c>
      <c r="C149" s="48">
        <f>'PLANILHA ORÇAMENTÁRIA'!C149</f>
        <v>86904</v>
      </c>
      <c r="D149" s="24" t="str">
        <f>'PLANILHA ORÇAMENTÁRIA'!D149</f>
        <v>LAVATÓRIO LOUÇA BRANCA SUSPENSO, 29,5 X 39CM OU EQUIVALENTE, PADRÃO POPULAR - FORNECIMENTO E INSTALAÇÃO. AF_01/2020</v>
      </c>
      <c r="E149" s="446" t="s">
        <v>1404</v>
      </c>
      <c r="F149" s="446"/>
      <c r="G149" s="446"/>
      <c r="H149" s="446"/>
      <c r="I149" s="207">
        <v>27</v>
      </c>
      <c r="J149" s="153" t="s">
        <v>309</v>
      </c>
    </row>
    <row r="150" spans="2:10" ht="52.9" customHeight="1" x14ac:dyDescent="0.25">
      <c r="B150" s="21" t="str">
        <f>'PLANILHA ORÇAMENTÁRIA'!B150</f>
        <v>11.4</v>
      </c>
      <c r="C150" s="48">
        <f>'PLANILHA ORÇAMENTÁRIA'!C150</f>
        <v>86872</v>
      </c>
      <c r="D150" s="24" t="str">
        <f>'PLANILHA ORÇAMENTÁRIA'!D150</f>
        <v>TANQUE DE LOUÇA BRANCA COM COLUNA, 30L OU EQUIVALENTE - FORNECIMENTO E INSTALAÇÃO. AF_01/2020</v>
      </c>
      <c r="E150" s="446" t="s">
        <v>1404</v>
      </c>
      <c r="F150" s="446"/>
      <c r="G150" s="446"/>
      <c r="H150" s="446"/>
      <c r="I150" s="207">
        <v>1</v>
      </c>
      <c r="J150" s="153" t="s">
        <v>309</v>
      </c>
    </row>
    <row r="151" spans="2:10" ht="52.9" customHeight="1" x14ac:dyDescent="0.25">
      <c r="B151" s="21" t="str">
        <f>'PLANILHA ORÇAMENTÁRIA'!B151</f>
        <v>11.5</v>
      </c>
      <c r="C151" s="48" t="str">
        <f>'PLANILHA ORÇAMENTÁRIA'!C151</f>
        <v>PMA HID 001</v>
      </c>
      <c r="D151" s="24" t="str">
        <f>'PLANILHA ORÇAMENTÁRIA'!D151</f>
        <v>TORNEIRA CROMADA DE MESA PARA LAVATORIO TEMPORIZADA PRESSAO - FORNECIMENTO E INSTALAÇÃO.</v>
      </c>
      <c r="E151" s="446" t="s">
        <v>1404</v>
      </c>
      <c r="F151" s="446"/>
      <c r="G151" s="446"/>
      <c r="H151" s="446"/>
      <c r="I151" s="207">
        <v>28</v>
      </c>
      <c r="J151" s="153" t="s">
        <v>309</v>
      </c>
    </row>
    <row r="152" spans="2:10" ht="52.9" customHeight="1" x14ac:dyDescent="0.25">
      <c r="B152" s="21" t="str">
        <f>'PLANILHA ORÇAMENTÁRIA'!B152</f>
        <v>11.6</v>
      </c>
      <c r="C152" s="48" t="str">
        <f>'PLANILHA ORÇAMENTÁRIA'!C152</f>
        <v>PMA HID 002</v>
      </c>
      <c r="D152" s="296" t="str">
        <f>'PLANILHA ORÇAMENTÁRIA'!D152</f>
        <v>TORNEIRA CROMADA DE MESA PARA LAVATÓRIO COM ALAVANCA DE ACIONAMENTO POR COTOVELO - FORNECIMENTO E INSTALAÇÃO</v>
      </c>
      <c r="E152" s="446" t="s">
        <v>1404</v>
      </c>
      <c r="F152" s="446"/>
      <c r="G152" s="446"/>
      <c r="H152" s="446"/>
      <c r="I152" s="207">
        <v>6</v>
      </c>
      <c r="J152" s="153" t="s">
        <v>309</v>
      </c>
    </row>
    <row r="153" spans="2:10" ht="52.9" customHeight="1" x14ac:dyDescent="0.25">
      <c r="B153" s="21" t="str">
        <f>'PLANILHA ORÇAMENTÁRIA'!B153</f>
        <v>11.7</v>
      </c>
      <c r="C153" s="48">
        <f>'PLANILHA ORÇAMENTÁRIA'!C153</f>
        <v>86909</v>
      </c>
      <c r="D153" s="24" t="str">
        <f>'PLANILHA ORÇAMENTÁRIA'!D153</f>
        <v>TORNEIRA CROMADA TUBO MÓVEL, DE MESA, 1/2 OU 3/4, PARA PIA DE COZINHA, PADRÃO ALTO - FORNECIMENTO E INSTALAÇÃO. AF_01/2020</v>
      </c>
      <c r="E153" s="446" t="s">
        <v>1404</v>
      </c>
      <c r="F153" s="446"/>
      <c r="G153" s="446"/>
      <c r="H153" s="446"/>
      <c r="I153" s="207">
        <v>1</v>
      </c>
      <c r="J153" s="153" t="s">
        <v>309</v>
      </c>
    </row>
    <row r="154" spans="2:10" ht="52.9" customHeight="1" x14ac:dyDescent="0.25">
      <c r="B154" s="21" t="str">
        <f>'PLANILHA ORÇAMENTÁRIA'!B154</f>
        <v>11.8</v>
      </c>
      <c r="C154" s="48" t="str">
        <f>'PLANILHA ORÇAMENTÁRIA'!C154</f>
        <v>PMA HID 003</v>
      </c>
      <c r="D154" s="24" t="str">
        <f>'PLANILHA ORÇAMENTÁRIA'!D154</f>
        <v>TORNEIRA TIPO JARDIM CROMADA - FORNECIMENTO E INSTALAÇÃO</v>
      </c>
      <c r="E154" s="446" t="s">
        <v>1404</v>
      </c>
      <c r="F154" s="446"/>
      <c r="G154" s="446"/>
      <c r="H154" s="446"/>
      <c r="I154" s="207">
        <v>5</v>
      </c>
      <c r="J154" s="153" t="s">
        <v>309</v>
      </c>
    </row>
    <row r="155" spans="2:10" ht="52.9" customHeight="1" x14ac:dyDescent="0.25">
      <c r="B155" s="21" t="str">
        <f>'PLANILHA ORÇAMENTÁRIA'!B155</f>
        <v>11.9</v>
      </c>
      <c r="C155" s="48" t="str">
        <f>'PLANILHA ORÇAMENTÁRIA'!C155</f>
        <v>PMA HID 004</v>
      </c>
      <c r="D155" s="296" t="str">
        <f>'PLANILHA ORÇAMENTÁRIA'!D155</f>
        <v>TORNEIRA CROMADA DE PAREDE PARA LAVATÓRIO COM ALAVANCA DE ACIONAMENTO POR COTOVELO - FORNECIMENTO E INSTALAÇÃO</v>
      </c>
      <c r="E155" s="446" t="s">
        <v>1404</v>
      </c>
      <c r="F155" s="446"/>
      <c r="G155" s="446"/>
      <c r="H155" s="446"/>
      <c r="I155" s="207">
        <v>2</v>
      </c>
      <c r="J155" s="153" t="s">
        <v>309</v>
      </c>
    </row>
    <row r="156" spans="2:10" ht="52.9" customHeight="1" x14ac:dyDescent="0.25">
      <c r="B156" s="21" t="str">
        <f>'PLANILHA ORÇAMENTÁRIA'!B156</f>
        <v>11.10</v>
      </c>
      <c r="C156" s="48">
        <f>'PLANILHA ORÇAMENTÁRIA'!C156</f>
        <v>86877</v>
      </c>
      <c r="D156" s="24" t="str">
        <f>'PLANILHA ORÇAMENTÁRIA'!D156</f>
        <v>VÁLVULA EM METAL CROMADO 1.1/2 X 1.1/2 PARA TANQUE OU LAVATÓRIO, COM OU SEM LADRÃO - FORNECIMENTO E INSTALAÇÃO. AF_01/2020</v>
      </c>
      <c r="E156" s="446" t="s">
        <v>1404</v>
      </c>
      <c r="F156" s="446"/>
      <c r="G156" s="446"/>
      <c r="H156" s="446"/>
      <c r="I156" s="208">
        <f>I149+I150</f>
        <v>28</v>
      </c>
      <c r="J156" s="153" t="s">
        <v>309</v>
      </c>
    </row>
    <row r="157" spans="2:10" ht="52.9" customHeight="1" x14ac:dyDescent="0.25">
      <c r="B157" s="21" t="str">
        <f>'PLANILHA ORÇAMENTÁRIA'!B157</f>
        <v>11.11</v>
      </c>
      <c r="C157" s="48" t="str">
        <f>'PLANILHA ORÇAMENTÁRIA'!C157</f>
        <v>PMA HID 005</v>
      </c>
      <c r="D157" s="24" t="str">
        <f>'PLANILHA ORÇAMENTÁRIA'!D157</f>
        <v>BARRA DE APOIO RETA, EM ACO INOX POLIDO, COMPRIMENTO 40CM, FIXADA NA PAREDE - FORNECIMENTO E INSTALAÇÃO. AF_01/2020</v>
      </c>
      <c r="E157" s="446" t="s">
        <v>1404</v>
      </c>
      <c r="F157" s="446"/>
      <c r="G157" s="446"/>
      <c r="H157" s="446"/>
      <c r="I157" s="207">
        <v>21</v>
      </c>
      <c r="J157" s="153" t="s">
        <v>309</v>
      </c>
    </row>
    <row r="158" spans="2:10" ht="52.9" customHeight="1" x14ac:dyDescent="0.25">
      <c r="B158" s="21" t="str">
        <f>'PLANILHA ORÇAMENTÁRIA'!B158</f>
        <v>11.12</v>
      </c>
      <c r="C158" s="48">
        <f>'PLANILHA ORÇAMENTÁRIA'!C158</f>
        <v>100866</v>
      </c>
      <c r="D158" s="24" t="str">
        <f>'PLANILHA ORÇAMENTÁRIA'!D158</f>
        <v>BARRA DE APOIO RETA, EM ACO INOX POLIDO, COMPRIMENTO 60CM, FIXADA NA PAREDE - FORNECIMENTO E INSTALAÇÃO. AF_01/2021</v>
      </c>
      <c r="E158" s="446" t="s">
        <v>1404</v>
      </c>
      <c r="F158" s="446"/>
      <c r="G158" s="446"/>
      <c r="H158" s="446"/>
      <c r="I158" s="207">
        <v>1</v>
      </c>
      <c r="J158" s="153" t="s">
        <v>309</v>
      </c>
    </row>
    <row r="159" spans="2:10" ht="52.9" customHeight="1" x14ac:dyDescent="0.25">
      <c r="B159" s="21" t="str">
        <f>'PLANILHA ORÇAMENTÁRIA'!B159</f>
        <v>11.13</v>
      </c>
      <c r="C159" s="48">
        <f>'PLANILHA ORÇAMENTÁRIA'!C159</f>
        <v>100867</v>
      </c>
      <c r="D159" s="24" t="str">
        <f>'PLANILHA ORÇAMENTÁRIA'!D159</f>
        <v>BARRA DE APOIO RETA, EM ACO INOX POLIDO, COMPRIMENTO 70 CM,  FIXADA NA PAREDE - FORNECIMENTO E INSTALAÇÃO. AF_01/2020</v>
      </c>
      <c r="E159" s="446" t="s">
        <v>1404</v>
      </c>
      <c r="F159" s="446"/>
      <c r="G159" s="446"/>
      <c r="H159" s="446"/>
      <c r="I159" s="207">
        <v>9</v>
      </c>
      <c r="J159" s="153" t="s">
        <v>309</v>
      </c>
    </row>
    <row r="160" spans="2:10" ht="52.9" customHeight="1" x14ac:dyDescent="0.25">
      <c r="B160" s="21" t="str">
        <f>'PLANILHA ORÇAMENTÁRIA'!B160</f>
        <v>11.14</v>
      </c>
      <c r="C160" s="48">
        <f>'PLANILHA ORÇAMENTÁRIA'!C160</f>
        <v>100868</v>
      </c>
      <c r="D160" s="24" t="str">
        <f>'PLANILHA ORÇAMENTÁRIA'!D160</f>
        <v>BARRA DE APOIO RETA, EM ACO INOX POLIDO, COMPRIMENTO 80 CM,  FIXADA NA PAREDE - FORNECIMENTO E INSTALAÇÃO. AF_01/2020</v>
      </c>
      <c r="E160" s="446" t="s">
        <v>1404</v>
      </c>
      <c r="F160" s="446"/>
      <c r="G160" s="446"/>
      <c r="H160" s="446"/>
      <c r="I160" s="207">
        <v>14</v>
      </c>
      <c r="J160" s="153" t="s">
        <v>309</v>
      </c>
    </row>
    <row r="161" spans="2:10" ht="52.9" customHeight="1" x14ac:dyDescent="0.25">
      <c r="B161" s="21" t="str">
        <f>'PLANILHA ORÇAMENTÁRIA'!B161</f>
        <v>11.15</v>
      </c>
      <c r="C161" s="48" t="str">
        <f>'PLANILHA ORÇAMENTÁRIA'!C161</f>
        <v>PMA HID 006</v>
      </c>
      <c r="D161" s="24" t="str">
        <f>'PLANILHA ORÇAMENTÁRIA'!D161</f>
        <v>CHUVEIRO COMUM EM PLASTICO BRANCO, COM CANO, 3 TEMPERATURAS - FORNECIMENTO E INSTALAÇÃO. AF_01/2020</v>
      </c>
      <c r="E161" s="446" t="s">
        <v>1404</v>
      </c>
      <c r="F161" s="446"/>
      <c r="G161" s="446"/>
      <c r="H161" s="446"/>
      <c r="I161" s="207">
        <v>3</v>
      </c>
      <c r="J161" s="153" t="s">
        <v>309</v>
      </c>
    </row>
    <row r="162" spans="2:10" ht="52.9" customHeight="1" x14ac:dyDescent="0.25">
      <c r="B162" s="21" t="str">
        <f>'PLANILHA ORÇAMENTÁRIA'!B162</f>
        <v>11.16</v>
      </c>
      <c r="C162" s="48" t="str">
        <f>'PLANILHA ORÇAMENTÁRIA'!C162</f>
        <v>PMA HID 007</v>
      </c>
      <c r="D162" s="24" t="str">
        <f>'PLANILHA ORÇAMENTÁRIA'!D162</f>
        <v>RALO SIFONADO, PVC, DN 100 X 40 MM, JUNTA SOLDÁVEL, FORNECIDO E INSTALADO EM RAMAL DE DESCARGA OU EM RAMAL DE ESGOTO SANITÁRIO. AF_12/2014</v>
      </c>
      <c r="E162" s="446" t="s">
        <v>1404</v>
      </c>
      <c r="F162" s="446"/>
      <c r="G162" s="446"/>
      <c r="H162" s="446"/>
      <c r="I162" s="207">
        <v>14</v>
      </c>
      <c r="J162" s="153" t="s">
        <v>309</v>
      </c>
    </row>
    <row r="163" spans="2:10" ht="25.5" x14ac:dyDescent="0.25">
      <c r="B163" s="21" t="str">
        <f>'PLANILHA ORÇAMENTÁRIA'!B163</f>
        <v>11.17</v>
      </c>
      <c r="C163" s="48" t="str">
        <f>'PLANILHA ORÇAMENTÁRIA'!C163</f>
        <v>PMA HID 008</v>
      </c>
      <c r="D163" s="24" t="str">
        <f>'PLANILHA ORÇAMENTÁRIA'!D163</f>
        <v xml:space="preserve">BANCADA DE AÇO INOXIDÁVEL DE 1,50 X 0,55 M, PARA PIA - FORNECIMENTO E INSTALAÇÃO. </v>
      </c>
      <c r="E163" s="446" t="s">
        <v>1416</v>
      </c>
      <c r="F163" s="446"/>
      <c r="G163" s="446"/>
      <c r="H163" s="446"/>
      <c r="I163" s="207">
        <v>7</v>
      </c>
      <c r="J163" s="153" t="s">
        <v>309</v>
      </c>
    </row>
    <row r="164" spans="2:10" ht="25.5" x14ac:dyDescent="0.25">
      <c r="B164" s="21" t="str">
        <f>'PLANILHA ORÇAMENTÁRIA'!B164</f>
        <v>11.18</v>
      </c>
      <c r="C164" s="48" t="str">
        <f>'PLANILHA ORÇAMENTÁRIA'!C164</f>
        <v>PMA HID 009</v>
      </c>
      <c r="D164" s="24" t="str">
        <f>'PLANILHA ORÇAMENTÁRIA'!D164</f>
        <v>BANCADA DE AÇO INOXIDÁVEL EM "L" DE 2,62 X 0,75 M; 3,4 X 0,60 M - FORNECIMENTO E INSTALAÇÃO.</v>
      </c>
      <c r="E164" s="446" t="s">
        <v>1416</v>
      </c>
      <c r="F164" s="446"/>
      <c r="G164" s="446"/>
      <c r="H164" s="446"/>
      <c r="I164" s="207">
        <v>1</v>
      </c>
      <c r="J164" s="153" t="s">
        <v>309</v>
      </c>
    </row>
    <row r="165" spans="2:10" ht="25.5" x14ac:dyDescent="0.25">
      <c r="B165" s="21" t="str">
        <f>'PLANILHA ORÇAMENTÁRIA'!B165</f>
        <v>11.19</v>
      </c>
      <c r="C165" s="48" t="str">
        <f>'PLANILHA ORÇAMENTÁRIA'!C165</f>
        <v>PMA HID 010</v>
      </c>
      <c r="D165" s="24" t="str">
        <f>'PLANILHA ORÇAMENTÁRIA'!D165</f>
        <v xml:space="preserve">BANCADA DE AÇO INOXIDÁVEL EM "L" DE 2,43 X 0,55 M; E, 1,34 X 0,55 M, PARA PIA - FORNECIMENTO E INSTALAÇÃO. </v>
      </c>
      <c r="E165" s="446" t="s">
        <v>1416</v>
      </c>
      <c r="F165" s="446"/>
      <c r="G165" s="446"/>
      <c r="H165" s="446"/>
      <c r="I165" s="207">
        <v>1</v>
      </c>
      <c r="J165" s="153" t="s">
        <v>309</v>
      </c>
    </row>
    <row r="166" spans="2:10" ht="25.5" x14ac:dyDescent="0.25">
      <c r="B166" s="21" t="str">
        <f>'PLANILHA ORÇAMENTÁRIA'!B166</f>
        <v>11.20</v>
      </c>
      <c r="C166" s="48" t="str">
        <f>'PLANILHA ORÇAMENTÁRIA'!C166</f>
        <v>PMA HID 011</v>
      </c>
      <c r="D166" s="24" t="str">
        <f>'PLANILHA ORÇAMENTÁRIA'!D166</f>
        <v>PIA DE EXPURGO HOSPITALAR - FORNECIMENTO E INSTALAÇÃO</v>
      </c>
      <c r="E166" s="446" t="s">
        <v>1421</v>
      </c>
      <c r="F166" s="446"/>
      <c r="G166" s="446"/>
      <c r="H166" s="446"/>
      <c r="I166" s="207">
        <v>1</v>
      </c>
      <c r="J166" s="153" t="s">
        <v>309</v>
      </c>
    </row>
    <row r="167" spans="2:10" ht="51" x14ac:dyDescent="0.25">
      <c r="B167" s="21" t="str">
        <f>'PLANILHA ORÇAMENTÁRIA'!B167</f>
        <v>11.21</v>
      </c>
      <c r="C167" s="48" t="str">
        <f>'PLANILHA ORÇAMENTÁRIA'!C167</f>
        <v>PMA HID 012</v>
      </c>
      <c r="D167" s="24" t="str">
        <f>'PLANILHA ORÇAMENTÁRIA'!D167</f>
        <v>BANCADA GRANITO CINZA 150 X 60 CM, COM 2 CUBAS OVAIS DE LOUÇA BRANCA,  DE EMBUTIR, VÁLVULA E SIFÃO TIPO GARRAFA EM METAL CROMADO, ENGATE FLEXÍVEL 30 CM - FORNEC./INSTALAÇÃO</v>
      </c>
      <c r="E167" s="446" t="s">
        <v>1404</v>
      </c>
      <c r="F167" s="446"/>
      <c r="G167" s="446"/>
      <c r="H167" s="446"/>
      <c r="I167" s="207">
        <v>1</v>
      </c>
      <c r="J167" s="153" t="s">
        <v>309</v>
      </c>
    </row>
    <row r="168" spans="2:10" ht="51" x14ac:dyDescent="0.25">
      <c r="B168" s="21" t="str">
        <f>'PLANILHA ORÇAMENTÁRIA'!B168</f>
        <v>11.22</v>
      </c>
      <c r="C168" s="48">
        <f>'PLANILHA ORÇAMENTÁRIA'!C168</f>
        <v>86935</v>
      </c>
      <c r="D168" s="24" t="str">
        <f>'PLANILHA ORÇAMENTÁRIA'!D168</f>
        <v>CUBA DE EMBUTIR DE AÇO INOXIDÁVEL MÉDIA, INCLUSO VÁLVULA TIPO AMERICANA EM METAL CROMADO E SIFÃO FLEXÍVEL EM PVC - FORNECIMENTO E INSTALAÇÃO. AF_01/2020</v>
      </c>
      <c r="E168" s="446" t="s">
        <v>1404</v>
      </c>
      <c r="F168" s="446"/>
      <c r="G168" s="446"/>
      <c r="H168" s="446"/>
      <c r="I168" s="207">
        <v>1</v>
      </c>
      <c r="J168" s="153" t="s">
        <v>309</v>
      </c>
    </row>
    <row r="169" spans="2:10" x14ac:dyDescent="0.25">
      <c r="B169" s="448"/>
      <c r="C169" s="448"/>
      <c r="D169" s="448"/>
      <c r="E169" s="448"/>
      <c r="F169" s="448"/>
      <c r="G169" s="448"/>
      <c r="H169" s="448"/>
      <c r="I169" s="448"/>
      <c r="J169" s="448"/>
    </row>
    <row r="170" spans="2:10" x14ac:dyDescent="0.25">
      <c r="B170" s="449" t="s">
        <v>69</v>
      </c>
      <c r="C170" s="449"/>
      <c r="D170" s="450" t="s">
        <v>229</v>
      </c>
      <c r="E170" s="450"/>
      <c r="F170" s="450"/>
      <c r="G170" s="450"/>
      <c r="H170" s="450"/>
      <c r="I170" s="450"/>
      <c r="J170" s="450"/>
    </row>
    <row r="171" spans="2:10" ht="51" x14ac:dyDescent="0.25">
      <c r="B171" s="48" t="str">
        <f>'PLANILHA ORÇAMENTÁRIA'!B171</f>
        <v>12.1</v>
      </c>
      <c r="C171" s="48">
        <f>'PLANILHA ORÇAMENTÁRIA'!C171</f>
        <v>98084</v>
      </c>
      <c r="D171" s="20" t="str">
        <f>'PLANILHA ORÇAMENTÁRIA'!D171</f>
        <v>TANQUE SÉPTICO RETANGULAR, EM ALVENARIA COM BLOCOS DE CONCRETO, DIMENSÕES INTERNAS: 1,4 X 1,8 X H=3,2 M, VOLUME ÚTIL: 6272 L (PARA 32 CONTRIBUINTES). AF_12/2020</v>
      </c>
      <c r="E171" s="445" t="s">
        <v>1422</v>
      </c>
      <c r="F171" s="445"/>
      <c r="G171" s="445"/>
      <c r="H171" s="445"/>
      <c r="I171" s="207">
        <v>1</v>
      </c>
      <c r="J171" s="48" t="s">
        <v>309</v>
      </c>
    </row>
    <row r="172" spans="2:10" ht="51" x14ac:dyDescent="0.25">
      <c r="B172" s="48" t="str">
        <f>'PLANILHA ORÇAMENTÁRIA'!B172</f>
        <v>12.2</v>
      </c>
      <c r="C172" s="48">
        <f>'PLANILHA ORÇAMENTÁRIA'!C172</f>
        <v>98101</v>
      </c>
      <c r="D172" s="20" t="str">
        <f>'PLANILHA ORÇAMENTÁRIA'!D172</f>
        <v>SUMIDOURO RETANGULAR, EM ALVENARIA COM BLOCOS DE CONCRETO, DIMENSÕES INTERNAS: 1,6 X 5,8 X H=3,0 M, ÁREA DE INFILTRAÇÃO: 50 M² (PARA 20 CONTRIBUINTES). . AF_12/2020</v>
      </c>
      <c r="E172" s="445" t="s">
        <v>1422</v>
      </c>
      <c r="F172" s="445"/>
      <c r="G172" s="445"/>
      <c r="H172" s="445"/>
      <c r="I172" s="207">
        <v>1</v>
      </c>
      <c r="J172" s="48" t="s">
        <v>309</v>
      </c>
    </row>
    <row r="173" spans="2:10" x14ac:dyDescent="0.25">
      <c r="B173" s="447" t="s">
        <v>1708</v>
      </c>
      <c r="C173" s="447"/>
      <c r="D173" s="447"/>
      <c r="E173" s="447"/>
      <c r="F173" s="447"/>
      <c r="G173" s="447"/>
      <c r="H173" s="447"/>
      <c r="I173" s="447"/>
      <c r="J173" s="447"/>
    </row>
    <row r="174" spans="2:10" ht="38.25" x14ac:dyDescent="0.25">
      <c r="B174" s="48" t="str">
        <f>'PLANILHA ORÇAMENTÁRIA'!B174</f>
        <v>12.3</v>
      </c>
      <c r="C174" s="48">
        <f>'PLANILHA ORÇAMENTÁRIA'!C174</f>
        <v>89356</v>
      </c>
      <c r="D174" s="20" t="str">
        <f>'PLANILHA ORÇAMENTÁRIA'!D174</f>
        <v>TUBO, PVC, SOLDÁVEL, DN 25MM, INSTALADO EM RAMAL OU SUB-RAMAL DE ÁGUA - FORNECIMENTO E INSTALAÇÃO. AF_12/2014</v>
      </c>
      <c r="E174" s="445" t="s">
        <v>1422</v>
      </c>
      <c r="F174" s="445"/>
      <c r="G174" s="445"/>
      <c r="H174" s="445"/>
      <c r="I174" s="207">
        <v>156</v>
      </c>
      <c r="J174" s="48" t="s">
        <v>248</v>
      </c>
    </row>
    <row r="175" spans="2:10" ht="38.25" x14ac:dyDescent="0.25">
      <c r="B175" s="48" t="str">
        <f>'PLANILHA ORÇAMENTÁRIA'!B175</f>
        <v>12.4</v>
      </c>
      <c r="C175" s="48">
        <f>'PLANILHA ORÇAMENTÁRIA'!C175</f>
        <v>89357</v>
      </c>
      <c r="D175" s="20" t="str">
        <f>'PLANILHA ORÇAMENTÁRIA'!D175</f>
        <v>TUBO, PVC, SOLDÁVEL, DN 32MM, INSTALADO EM RAMAL OU SUB-RAMAL DE ÁGUA - FORNECIMENTO E INSTALAÇÃO. AF_12/2014</v>
      </c>
      <c r="E175" s="445" t="s">
        <v>1422</v>
      </c>
      <c r="F175" s="445"/>
      <c r="G175" s="445"/>
      <c r="H175" s="445"/>
      <c r="I175" s="207">
        <v>56</v>
      </c>
      <c r="J175" s="48" t="s">
        <v>248</v>
      </c>
    </row>
    <row r="176" spans="2:10" ht="38.25" x14ac:dyDescent="0.25">
      <c r="B176" s="48" t="str">
        <f>'PLANILHA ORÇAMENTÁRIA'!B176</f>
        <v>12.5</v>
      </c>
      <c r="C176" s="48" t="str">
        <f>'PLANILHA ORÇAMENTÁRIA'!C176</f>
        <v>PMA HID 013</v>
      </c>
      <c r="D176" s="20" t="str">
        <f>'PLANILHA ORÇAMENTÁRIA'!D176</f>
        <v>TUBO, PVC, SOLDÁVEL, DN 40MM, INSTALADO EM PRUMADA DE ÁGUA - FORNECIMENTO E INSTALAÇÃO. AF_12/2014</v>
      </c>
      <c r="E176" s="445" t="s">
        <v>1422</v>
      </c>
      <c r="F176" s="445"/>
      <c r="G176" s="445"/>
      <c r="H176" s="445"/>
      <c r="I176" s="207">
        <v>26</v>
      </c>
      <c r="J176" s="48" t="s">
        <v>248</v>
      </c>
    </row>
    <row r="177" spans="2:10" ht="38.25" x14ac:dyDescent="0.25">
      <c r="B177" s="48" t="str">
        <f>'PLANILHA ORÇAMENTÁRIA'!B177</f>
        <v>12.6</v>
      </c>
      <c r="C177" s="48" t="str">
        <f>'PLANILHA ORÇAMENTÁRIA'!C177</f>
        <v>PMA HID 014</v>
      </c>
      <c r="D177" s="20" t="str">
        <f>'PLANILHA ORÇAMENTÁRIA'!D177</f>
        <v>TUBO, PVC, SOLDÁVEL, DN 50MM, INSTALADO EM PRUMADA DE ÁGUA - FORNECIMENTO E INSTALAÇÃO. AF_12/2014</v>
      </c>
      <c r="E177" s="445" t="s">
        <v>1422</v>
      </c>
      <c r="F177" s="445"/>
      <c r="G177" s="445"/>
      <c r="H177" s="445"/>
      <c r="I177" s="207">
        <v>36</v>
      </c>
      <c r="J177" s="48" t="s">
        <v>248</v>
      </c>
    </row>
    <row r="178" spans="2:10" ht="38.25" x14ac:dyDescent="0.25">
      <c r="B178" s="48" t="str">
        <f>'PLANILHA ORÇAMENTÁRIA'!B178</f>
        <v>12.7</v>
      </c>
      <c r="C178" s="48">
        <f>'PLANILHA ORÇAMENTÁRIA'!C178</f>
        <v>89362</v>
      </c>
      <c r="D178" s="20" t="str">
        <f>'PLANILHA ORÇAMENTÁRIA'!D178</f>
        <v>JOELHO 90 GRAUS, PVC, SOLDÁVEL, DN 25MM, INSTALADO EM RAMAL OU SUB-RAMAL DE ÁGUA - FORNECIMENTO E INSTALAÇÃO. AF_12/2014</v>
      </c>
      <c r="E178" s="445" t="s">
        <v>1422</v>
      </c>
      <c r="F178" s="445"/>
      <c r="G178" s="445"/>
      <c r="H178" s="445"/>
      <c r="I178" s="209">
        <v>77</v>
      </c>
      <c r="J178" s="153" t="s">
        <v>309</v>
      </c>
    </row>
    <row r="179" spans="2:10" ht="38.25" x14ac:dyDescent="0.25">
      <c r="B179" s="48" t="str">
        <f>'PLANILHA ORÇAMENTÁRIA'!B179</f>
        <v>12.8</v>
      </c>
      <c r="C179" s="48" t="str">
        <f>'PLANILHA ORÇAMENTÁRIA'!C179</f>
        <v>PMA HID 015</v>
      </c>
      <c r="D179" s="20" t="str">
        <f>'PLANILHA ORÇAMENTÁRIA'!D179</f>
        <v>JOELHO 90 GRAUS, PVC, SOLDÁVEL, DN 32MM, INSTALADO EM RAMAL OU SUB-RAMAL DE ÁGUA - FORNECIMENTO E INSTALAÇÃO</v>
      </c>
      <c r="E179" s="445" t="s">
        <v>1422</v>
      </c>
      <c r="F179" s="445"/>
      <c r="G179" s="445"/>
      <c r="H179" s="445"/>
      <c r="I179" s="209">
        <v>4</v>
      </c>
      <c r="J179" s="153" t="s">
        <v>309</v>
      </c>
    </row>
    <row r="180" spans="2:10" ht="38.25" x14ac:dyDescent="0.25">
      <c r="B180" s="48" t="str">
        <f>'PLANILHA ORÇAMENTÁRIA'!B180</f>
        <v>12.9</v>
      </c>
      <c r="C180" s="48" t="str">
        <f>'PLANILHA ORÇAMENTÁRIA'!C180</f>
        <v>PMA HID 016</v>
      </c>
      <c r="D180" s="20" t="str">
        <f>'PLANILHA ORÇAMENTÁRIA'!D180</f>
        <v>JOELHO 90 GRAUS, PVC, SOLDÁVEL, DN 50MM, INSTALADO EM RAMAL OU SUB-RAMAL DE ÁGUA - FORNECIMENTO E INSTALAÇÃO</v>
      </c>
      <c r="E180" s="445" t="s">
        <v>1422</v>
      </c>
      <c r="F180" s="445"/>
      <c r="G180" s="445"/>
      <c r="H180" s="445"/>
      <c r="I180" s="209">
        <v>8</v>
      </c>
      <c r="J180" s="153" t="s">
        <v>309</v>
      </c>
    </row>
    <row r="181" spans="2:10" ht="38.25" x14ac:dyDescent="0.25">
      <c r="B181" s="48" t="str">
        <f>'PLANILHA ORÇAMENTÁRIA'!B181</f>
        <v>12.10</v>
      </c>
      <c r="C181" s="48">
        <f>'PLANILHA ORÇAMENTÁRIA'!C181</f>
        <v>90373</v>
      </c>
      <c r="D181" s="20" t="str">
        <f>'PLANILHA ORÇAMENTÁRIA'!D181</f>
        <v>JOELHO 90 GRAUS COM BUCHA DE LATÃO, PVC, SOLDÁVEL, DN 25MM, X 1/2 INSTALADO EM RAMAL OU SUB-RAMAL DE ÁGUA - FORNECIMENTO E INSTALAÇÃO. AF_12/2014</v>
      </c>
      <c r="E181" s="445" t="s">
        <v>1422</v>
      </c>
      <c r="F181" s="445"/>
      <c r="G181" s="445"/>
      <c r="H181" s="445"/>
      <c r="I181" s="207">
        <v>47</v>
      </c>
      <c r="J181" s="153" t="s">
        <v>309</v>
      </c>
    </row>
    <row r="182" spans="2:10" ht="38.25" x14ac:dyDescent="0.25">
      <c r="B182" s="48" t="str">
        <f>'PLANILHA ORÇAMENTÁRIA'!B182</f>
        <v>12.11</v>
      </c>
      <c r="C182" s="48">
        <f>'PLANILHA ORÇAMENTÁRIA'!C182</f>
        <v>103948</v>
      </c>
      <c r="D182" s="24" t="str">
        <f>'PLANILHA ORÇAMENTÁRIA'!D235</f>
        <v>TOMADA BAIXA DE EMBUTIR (1 MÓDULO), 2P+T 10 A, INCLUINDO SUPORTE E PLACA - FORNECIMENTO E INSTALAÇÃO. AF_12/2015</v>
      </c>
      <c r="E182" s="445" t="s">
        <v>1422</v>
      </c>
      <c r="F182" s="445"/>
      <c r="G182" s="445"/>
      <c r="H182" s="445"/>
      <c r="I182" s="207">
        <v>8</v>
      </c>
      <c r="J182" s="153" t="s">
        <v>309</v>
      </c>
    </row>
    <row r="183" spans="2:10" ht="38.25" x14ac:dyDescent="0.25">
      <c r="B183" s="48" t="str">
        <f>'PLANILHA ORÇAMENTÁRIA'!B183</f>
        <v>12.12</v>
      </c>
      <c r="C183" s="48">
        <f>'PLANILHA ORÇAMENTÁRIA'!C183</f>
        <v>103993</v>
      </c>
      <c r="D183" s="24" t="str">
        <f>'PLANILHA ORÇAMENTÁRIA'!D236</f>
        <v>TOMADA MÉDIA DE EMBUTIR (1 MÓDULO), 2P+T 10 A, INCLUINDO SUPORTE E PLACA - FORNECIMENTO E INSTALAÇÃO. AF_12/2015</v>
      </c>
      <c r="E183" s="445" t="s">
        <v>1422</v>
      </c>
      <c r="F183" s="445"/>
      <c r="G183" s="445"/>
      <c r="H183" s="445"/>
      <c r="I183" s="207">
        <v>2</v>
      </c>
      <c r="J183" s="153" t="s">
        <v>309</v>
      </c>
    </row>
    <row r="184" spans="2:10" ht="38.25" x14ac:dyDescent="0.25">
      <c r="B184" s="48" t="str">
        <f>'PLANILHA ORÇAMENTÁRIA'!B184</f>
        <v>12.13</v>
      </c>
      <c r="C184" s="48">
        <f>'PLANILHA ORÇAMENTÁRIA'!C184</f>
        <v>89395</v>
      </c>
      <c r="D184" s="24" t="str">
        <f>'PLANILHA ORÇAMENTÁRIA'!D237</f>
        <v>TOMADA BAIXA DE EMBUTIR (2 MÓDULOS), 2P+T 10 A, INCLUINDO SUPORTE E PLACA - FORNECIMENTO E INSTALAÇÃO. AF_12/2015</v>
      </c>
      <c r="E184" s="445" t="s">
        <v>1422</v>
      </c>
      <c r="F184" s="445"/>
      <c r="G184" s="445"/>
      <c r="H184" s="445"/>
      <c r="I184" s="207">
        <v>23</v>
      </c>
      <c r="J184" s="153" t="s">
        <v>309</v>
      </c>
    </row>
    <row r="185" spans="2:10" ht="38.25" x14ac:dyDescent="0.25">
      <c r="B185" s="48" t="str">
        <f>'PLANILHA ORÇAMENTÁRIA'!B185</f>
        <v>12.14</v>
      </c>
      <c r="C185" s="48" t="str">
        <f>'PLANILHA ORÇAMENTÁRIA'!C185</f>
        <v>PMA HID 017</v>
      </c>
      <c r="D185" s="24" t="str">
        <f>'PLANILHA ORÇAMENTÁRIA'!D239</f>
        <v>TOMADA BAIXA DE EMBUTIR (1 MÓDULO), 2P+T 20 A, INCLUINDO SUPORTE E PLACA - FORNECIMENTO E INSTALAÇÃO. AF_12/2015</v>
      </c>
      <c r="E185" s="445" t="s">
        <v>1422</v>
      </c>
      <c r="F185" s="445"/>
      <c r="G185" s="445"/>
      <c r="H185" s="445"/>
      <c r="I185" s="207">
        <v>4</v>
      </c>
      <c r="J185" s="153" t="s">
        <v>309</v>
      </c>
    </row>
    <row r="186" spans="2:10" ht="38.25" x14ac:dyDescent="0.25">
      <c r="B186" s="48" t="str">
        <f>'PLANILHA ORÇAMENTÁRIA'!B186</f>
        <v>12.15</v>
      </c>
      <c r="C186" s="48">
        <f>'PLANILHA ORÇAMENTÁRIA'!C186</f>
        <v>89400</v>
      </c>
      <c r="D186" s="24" t="str">
        <f>'PLANILHA ORÇAMENTÁRIA'!D241</f>
        <v>TOMADA MÉDIA DE EMBUTIR (1 MÓDULO), 2P+T 20 A, INCLUINDO SUPORTE E PLACA - FORNECIMENTO E INSTALAÇÃO. AF_12/2015</v>
      </c>
      <c r="E186" s="445" t="s">
        <v>1422</v>
      </c>
      <c r="F186" s="445"/>
      <c r="G186" s="445"/>
      <c r="H186" s="445"/>
      <c r="I186" s="207">
        <v>12</v>
      </c>
      <c r="J186" s="153" t="s">
        <v>309</v>
      </c>
    </row>
    <row r="187" spans="2:10" ht="38.25" x14ac:dyDescent="0.25">
      <c r="B187" s="48" t="str">
        <f>'PLANILHA ORÇAMENTÁRIA'!B187</f>
        <v>12.16</v>
      </c>
      <c r="C187" s="48" t="str">
        <f>'PLANILHA ORÇAMENTÁRIA'!C187</f>
        <v>PMA HID 018</v>
      </c>
      <c r="D187" s="24" t="str">
        <f>'PLANILHA ORÇAMENTÁRIA'!D243</f>
        <v>CAIXA RETANGULAR 4" X 2" BAIXA (0,30 M DO PISO), PVC, INSTALADA EM PAREDE - FORNECIMENTO E INSTALAÇÃO. AF_12/2015</v>
      </c>
      <c r="E187" s="445" t="s">
        <v>1422</v>
      </c>
      <c r="F187" s="445"/>
      <c r="G187" s="445"/>
      <c r="H187" s="445"/>
      <c r="I187" s="207">
        <v>2</v>
      </c>
      <c r="J187" s="153" t="s">
        <v>309</v>
      </c>
    </row>
    <row r="188" spans="2:10" ht="38.25" x14ac:dyDescent="0.25">
      <c r="B188" s="48" t="str">
        <f>'PLANILHA ORÇAMENTÁRIA'!B188</f>
        <v>12.17</v>
      </c>
      <c r="C188" s="48">
        <f>'PLANILHA ORÇAMENTÁRIA'!C188</f>
        <v>94693</v>
      </c>
      <c r="D188" s="24" t="str">
        <f>'PLANILHA ORÇAMENTÁRIA'!D244</f>
        <v>CAIXA RETANGULAR 4" X 2" MÉDIA (1,30 M DO PISO), PVC, INSTALADA EM PAREDE - FORNECIMENTO E INSTALAÇÃO. AF_12/2015</v>
      </c>
      <c r="E188" s="445" t="s">
        <v>1422</v>
      </c>
      <c r="F188" s="445"/>
      <c r="G188" s="445"/>
      <c r="H188" s="445"/>
      <c r="I188" s="207">
        <v>4</v>
      </c>
      <c r="J188" s="153" t="s">
        <v>309</v>
      </c>
    </row>
    <row r="189" spans="2:10" ht="25.5" x14ac:dyDescent="0.25">
      <c r="B189" s="48" t="str">
        <f>'PLANILHA ORÇAMENTÁRIA'!B189</f>
        <v>12.18</v>
      </c>
      <c r="C189" s="48">
        <f>'PLANILHA ORÇAMENTÁRIA'!C189</f>
        <v>94495</v>
      </c>
      <c r="D189" s="24" t="str">
        <f>'PLANILHA ORÇAMENTÁRIA'!D245</f>
        <v>QUEBRA EM ALVENARIA PARA INSTALAÇÃO DE CAIXA DE TOMADA (4X4 OU 4X2). AF_05/2015</v>
      </c>
      <c r="E189" s="445" t="s">
        <v>1422</v>
      </c>
      <c r="F189" s="445"/>
      <c r="G189" s="445"/>
      <c r="H189" s="445"/>
      <c r="I189" s="207">
        <v>40</v>
      </c>
      <c r="J189" s="153" t="s">
        <v>309</v>
      </c>
    </row>
    <row r="190" spans="2:10" ht="38.25" x14ac:dyDescent="0.25">
      <c r="B190" s="48" t="str">
        <f>'PLANILHA ORÇAMENTÁRIA'!B190</f>
        <v>12.19</v>
      </c>
      <c r="C190" s="48">
        <f>'PLANILHA ORÇAMENTÁRIA'!C190</f>
        <v>94497</v>
      </c>
      <c r="D190" s="24" t="str">
        <f>'PLANILHA ORÇAMENTÁRIA'!D246</f>
        <v>ELETRODUTO RÍGIDO ROSCÁVEL, PVC, DN 50 MM (2"), PARA CIRCUITOS TERMINAIS, INSTALADO EM PAREDE - FORNECIMENTO E INSTALAÇÃO.</v>
      </c>
      <c r="E190" s="445" t="s">
        <v>1422</v>
      </c>
      <c r="F190" s="445"/>
      <c r="G190" s="445"/>
      <c r="H190" s="445"/>
      <c r="I190" s="207">
        <v>2</v>
      </c>
      <c r="J190" s="153" t="s">
        <v>309</v>
      </c>
    </row>
    <row r="191" spans="2:10" ht="13.15" customHeight="1" x14ac:dyDescent="0.25">
      <c r="B191" s="48" t="str">
        <f>'PLANILHA ORÇAMENTÁRIA'!B191</f>
        <v>12.20</v>
      </c>
      <c r="C191" s="48">
        <f>'PLANILHA ORÇAMENTÁRIA'!C191</f>
        <v>94498</v>
      </c>
      <c r="D191" s="24" t="str">
        <f>'PLANILHA ORÇAMENTÁRIA'!D247</f>
        <v xml:space="preserve">ELETRODUTO RÍGIDO ROSCÁVEL, PVC, DN 25 MM (3/4"), PARA CIRCUITOS TERMINAIS, INSTALADO EM PAREDE - FORNECIMENTO E INSTALAÇÃO. </v>
      </c>
      <c r="E191" s="445" t="s">
        <v>1422</v>
      </c>
      <c r="F191" s="445"/>
      <c r="G191" s="445"/>
      <c r="H191" s="445"/>
      <c r="I191" s="207">
        <v>2</v>
      </c>
      <c r="J191" s="153" t="s">
        <v>309</v>
      </c>
    </row>
    <row r="192" spans="2:10" ht="38.25" x14ac:dyDescent="0.25">
      <c r="B192" s="48" t="str">
        <f>'PLANILHA ORÇAMENTÁRIA'!B192</f>
        <v>12.21</v>
      </c>
      <c r="C192" s="48">
        <f>'PLANILHA ORÇAMENTÁRIA'!C192</f>
        <v>99622</v>
      </c>
      <c r="D192" s="24" t="str">
        <f>'PLANILHA ORÇAMENTÁRIA'!D248</f>
        <v>ELETRODUTO RÍGIDO ROSCÁVEL, PVC, DN 32 MM (1"), PARA CIRCUITOS TERMINAIS, INSTALADO EM PAREDE - FORNECIMENTO E INSTALAÇÃO. AF_12/2015</v>
      </c>
      <c r="E192" s="445" t="s">
        <v>1422</v>
      </c>
      <c r="F192" s="445"/>
      <c r="G192" s="445"/>
      <c r="H192" s="445"/>
      <c r="I192" s="207">
        <v>2</v>
      </c>
      <c r="J192" s="153" t="s">
        <v>309</v>
      </c>
    </row>
    <row r="193" spans="2:10" x14ac:dyDescent="0.25">
      <c r="B193" s="447" t="s">
        <v>1709</v>
      </c>
      <c r="C193" s="447"/>
      <c r="D193" s="447"/>
      <c r="E193" s="447"/>
      <c r="F193" s="447"/>
      <c r="G193" s="447"/>
      <c r="H193" s="447"/>
      <c r="I193" s="447"/>
      <c r="J193" s="447"/>
    </row>
    <row r="194" spans="2:10" ht="38.25" x14ac:dyDescent="0.25">
      <c r="B194" s="48" t="str">
        <f>'PLANILHA ORÇAMENTÁRIA'!B194</f>
        <v>12.22</v>
      </c>
      <c r="C194" s="48">
        <f>'PLANILHA ORÇAMENTÁRIA'!C194</f>
        <v>89711</v>
      </c>
      <c r="D194" s="20" t="str">
        <f>'PLANILHA ORÇAMENTÁRIA'!D194</f>
        <v>TUBO PVC, SERIE NORMAL, ESGOTO PREDIAL, DN 40 MM, FORNECIDO E INSTALADO EM RAMAL DE DESCARGA OU RAMAL DE ESGOTO SANITÁRIO. AF_12/2014</v>
      </c>
      <c r="E194" s="445" t="s">
        <v>1422</v>
      </c>
      <c r="F194" s="445"/>
      <c r="G194" s="445"/>
      <c r="H194" s="445"/>
      <c r="I194" s="232">
        <v>66</v>
      </c>
      <c r="J194" s="48" t="s">
        <v>248</v>
      </c>
    </row>
    <row r="195" spans="2:10" ht="38.25" x14ac:dyDescent="0.25">
      <c r="B195" s="48" t="str">
        <f>'PLANILHA ORÇAMENTÁRIA'!B195</f>
        <v>12.23</v>
      </c>
      <c r="C195" s="48">
        <f>'PLANILHA ORÇAMENTÁRIA'!C195</f>
        <v>89712</v>
      </c>
      <c r="D195" s="20" t="str">
        <f>'PLANILHA ORÇAMENTÁRIA'!D195</f>
        <v>TUBO PVC, SERIE NORMAL, ESGOTO PREDIAL, DN 50 MM, FORNECIDO E INSTALADO EM RAMAL DE DESCARGA OU RAMAL DE ESGOTO SANITÁRIO. AF_12/2014</v>
      </c>
      <c r="E195" s="445" t="s">
        <v>1422</v>
      </c>
      <c r="F195" s="445"/>
      <c r="G195" s="445"/>
      <c r="H195" s="445"/>
      <c r="I195" s="232">
        <v>106</v>
      </c>
      <c r="J195" s="48" t="s">
        <v>248</v>
      </c>
    </row>
    <row r="196" spans="2:10" ht="38.25" x14ac:dyDescent="0.25">
      <c r="B196" s="48" t="str">
        <f>'PLANILHA ORÇAMENTÁRIA'!B196</f>
        <v>12.24</v>
      </c>
      <c r="C196" s="48">
        <f>'PLANILHA ORÇAMENTÁRIA'!C196</f>
        <v>89714</v>
      </c>
      <c r="D196" s="20" t="str">
        <f>'PLANILHA ORÇAMENTÁRIA'!D196</f>
        <v>TUBO PVC, SERIE NORMAL, ESGOTO PREDIAL, DN 100 MM, FORNECIDO E INSTALADO EM RAMAL DE DESCARGA OU RAMAL DE ESGOTO SANITÁRIO. AF_12/2014</v>
      </c>
      <c r="E196" s="445" t="s">
        <v>1422</v>
      </c>
      <c r="F196" s="445"/>
      <c r="G196" s="445"/>
      <c r="H196" s="445"/>
      <c r="I196" s="232">
        <v>110</v>
      </c>
      <c r="J196" s="48" t="s">
        <v>248</v>
      </c>
    </row>
    <row r="197" spans="2:10" ht="51" x14ac:dyDescent="0.25">
      <c r="B197" s="48" t="str">
        <f>'PLANILHA ORÇAMENTÁRIA'!B197</f>
        <v>12.25</v>
      </c>
      <c r="C197" s="48">
        <f>'PLANILHA ORÇAMENTÁRIA'!C197</f>
        <v>89724</v>
      </c>
      <c r="D197" s="20" t="str">
        <f>'PLANILHA ORÇAMENTÁRIA'!D197</f>
        <v>JOELHO 90 GRAUS, PVC, SERIE NORMAL, ESGOTO PREDIAL, DN 40 MM, JUNTA SOLDÁVEL, FORNECIDO E INSTALADO EM RAMAL DE DESCARGA OU RAMAL DE ESGOTO SANITÁRIO. AF_12/2014</v>
      </c>
      <c r="E197" s="445" t="s">
        <v>1422</v>
      </c>
      <c r="F197" s="445"/>
      <c r="G197" s="445"/>
      <c r="H197" s="445"/>
      <c r="I197" s="232">
        <v>50</v>
      </c>
      <c r="J197" s="48" t="s">
        <v>309</v>
      </c>
    </row>
    <row r="198" spans="2:10" ht="51" x14ac:dyDescent="0.25">
      <c r="B198" s="48" t="str">
        <f>'PLANILHA ORÇAMENTÁRIA'!B198</f>
        <v>12.26</v>
      </c>
      <c r="C198" s="48">
        <f>'PLANILHA ORÇAMENTÁRIA'!C198</f>
        <v>89731</v>
      </c>
      <c r="D198" s="20" t="str">
        <f>'PLANILHA ORÇAMENTÁRIA'!D198</f>
        <v>JOELHO 90 GRAUS, PVC, SERIE NORMAL, ESGOTO PREDIAL, DN 50 MM, JUNTA ELÁSTICA, FORNECIDO E INSTALADO EM RAMAL DE DESCARGA OU RAMAL DE ESGOTO SANITÁRIO. AF_12/2014</v>
      </c>
      <c r="E198" s="445" t="s">
        <v>1422</v>
      </c>
      <c r="F198" s="445"/>
      <c r="G198" s="445"/>
      <c r="H198" s="445"/>
      <c r="I198" s="232">
        <v>56</v>
      </c>
      <c r="J198" s="48" t="s">
        <v>309</v>
      </c>
    </row>
    <row r="199" spans="2:10" ht="51" x14ac:dyDescent="0.25">
      <c r="B199" s="48" t="str">
        <f>'PLANILHA ORÇAMENTÁRIA'!B199</f>
        <v>12.27</v>
      </c>
      <c r="C199" s="48">
        <f>'PLANILHA ORÇAMENTÁRIA'!C199</f>
        <v>89748</v>
      </c>
      <c r="D199" s="20" t="str">
        <f>'PLANILHA ORÇAMENTÁRIA'!D199</f>
        <v>CURVA CURTA 90 GRAUS, PVC, SERIE NORMAL, ESGOTO PREDIAL, DN 100 MM, JUNTA ELÁSTICA, FORNECIDO E INSTALADO EM RAMAL DE DESCARGA OU RAMAL DE ESGOTO SANITÁRIO. AF_12/2014</v>
      </c>
      <c r="E199" s="445" t="s">
        <v>1422</v>
      </c>
      <c r="F199" s="445"/>
      <c r="G199" s="445"/>
      <c r="H199" s="445"/>
      <c r="I199" s="232">
        <v>12</v>
      </c>
      <c r="J199" s="48" t="s">
        <v>309</v>
      </c>
    </row>
    <row r="200" spans="2:10" ht="51" x14ac:dyDescent="0.25">
      <c r="B200" s="48" t="str">
        <f>'PLANILHA ORÇAMENTÁRIA'!B200</f>
        <v>12.28</v>
      </c>
      <c r="C200" s="48">
        <f>'PLANILHA ORÇAMENTÁRIA'!C200</f>
        <v>89726</v>
      </c>
      <c r="D200" s="20" t="str">
        <f>'PLANILHA ORÇAMENTÁRIA'!D200</f>
        <v>JOELHO 45 GRAUS, PVC, SERIE NORMAL, ESGOTO PREDIAL, DN 40 MM, JUNTA SOLDÁVEL, FORNECIDO E INSTALADO EM RAMAL DE DESCARGA OU RAMAL DE ESGOTO SANITÁRIO. AF_12/2014</v>
      </c>
      <c r="E200" s="445" t="s">
        <v>1422</v>
      </c>
      <c r="F200" s="445"/>
      <c r="G200" s="445"/>
      <c r="H200" s="445"/>
      <c r="I200" s="232">
        <v>25</v>
      </c>
      <c r="J200" s="48" t="s">
        <v>309</v>
      </c>
    </row>
    <row r="201" spans="2:10" ht="51" x14ac:dyDescent="0.25">
      <c r="B201" s="48" t="str">
        <f>'PLANILHA ORÇAMENTÁRIA'!B201</f>
        <v>12.29</v>
      </c>
      <c r="C201" s="48">
        <f>'PLANILHA ORÇAMENTÁRIA'!C201</f>
        <v>89732</v>
      </c>
      <c r="D201" s="20" t="str">
        <f>'PLANILHA ORÇAMENTÁRIA'!D201</f>
        <v>JOELHO 45 GRAUS, PVC, SERIE NORMAL, ESGOTO PREDIAL, DN 50 MM, JUNTA ELÁSTICA, FORNECIDO E INSTALADO EM RAMAL DE DESCARGA OU RAMAL DE ESGOTO SANITÁRIO. AF_12/2014</v>
      </c>
      <c r="E201" s="445" t="s">
        <v>1422</v>
      </c>
      <c r="F201" s="445"/>
      <c r="G201" s="445"/>
      <c r="H201" s="445"/>
      <c r="I201" s="232">
        <v>25</v>
      </c>
      <c r="J201" s="48" t="s">
        <v>309</v>
      </c>
    </row>
    <row r="202" spans="2:10" ht="51" x14ac:dyDescent="0.25">
      <c r="B202" s="48" t="str">
        <f>'PLANILHA ORÇAMENTÁRIA'!B202</f>
        <v>12.30</v>
      </c>
      <c r="C202" s="48">
        <f>'PLANILHA ORÇAMENTÁRIA'!C202</f>
        <v>89746</v>
      </c>
      <c r="D202" s="20" t="str">
        <f>'PLANILHA ORÇAMENTÁRIA'!D202</f>
        <v>JOELHO 45 GRAUS, PVC, SERIE NORMAL, ESGOTO PREDIAL, DN 100 MM, JUNTA ELÁSTICA, FORNECIDO E INSTALADO EM RAMAL DE DESCARGA OU RAMAL DE ESGOTO SANITÁRIO. AF_12/2014</v>
      </c>
      <c r="E202" s="445" t="s">
        <v>1422</v>
      </c>
      <c r="F202" s="445"/>
      <c r="G202" s="445"/>
      <c r="H202" s="445"/>
      <c r="I202" s="232">
        <v>10</v>
      </c>
      <c r="J202" s="48" t="s">
        <v>309</v>
      </c>
    </row>
    <row r="203" spans="2:10" ht="38.25" x14ac:dyDescent="0.25">
      <c r="B203" s="48" t="str">
        <f>'PLANILHA ORÇAMENTÁRIA'!B203</f>
        <v>12.31</v>
      </c>
      <c r="C203" s="48">
        <f>'PLANILHA ORÇAMENTÁRIA'!C203</f>
        <v>89784</v>
      </c>
      <c r="D203" s="20" t="str">
        <f>'PLANILHA ORÇAMENTÁRIA'!D203</f>
        <v>TE, PVC, SERIE NORMAL, ESGOTO PREDIAL, DN 50 X 50 MM, JUNTA ELÁSTICA, FORNECIDO E INSTALADO EM RAMAL DE DESCARGA OU RAMAL DE ESGOTO SANITÁRIO. AF_12/2014</v>
      </c>
      <c r="E203" s="445" t="s">
        <v>1422</v>
      </c>
      <c r="F203" s="445"/>
      <c r="G203" s="445"/>
      <c r="H203" s="445"/>
      <c r="I203" s="232">
        <v>26</v>
      </c>
      <c r="J203" s="48" t="s">
        <v>309</v>
      </c>
    </row>
    <row r="204" spans="2:10" ht="38.25" x14ac:dyDescent="0.25">
      <c r="B204" s="48" t="str">
        <f>'PLANILHA ORÇAMENTÁRIA'!B204</f>
        <v>12.32</v>
      </c>
      <c r="C204" s="48">
        <f>'PLANILHA ORÇAMENTÁRIA'!C204</f>
        <v>89796</v>
      </c>
      <c r="D204" s="20" t="str">
        <f>'PLANILHA ORÇAMENTÁRIA'!D204</f>
        <v>TE, PVC, SERIE NORMAL, ESGOTO PREDIAL, DN 100 X 100 MM, JUNTA ELÁSTICA, FORNECIDO E INSTALADO EM RAMAL DE DESCARGA OU RAMAL DE ESGOTO SANITÁRIO. AF_12/2014</v>
      </c>
      <c r="E204" s="445" t="s">
        <v>1422</v>
      </c>
      <c r="F204" s="445"/>
      <c r="G204" s="445"/>
      <c r="H204" s="445"/>
      <c r="I204" s="232">
        <v>8</v>
      </c>
      <c r="J204" s="48" t="s">
        <v>309</v>
      </c>
    </row>
    <row r="205" spans="2:10" ht="51" x14ac:dyDescent="0.25">
      <c r="B205" s="48" t="str">
        <f>'PLANILHA ORÇAMENTÁRIA'!B205</f>
        <v>12.33</v>
      </c>
      <c r="C205" s="48" t="str">
        <f>'PLANILHA ORÇAMENTÁRIA'!C205</f>
        <v>PMA HID 021</v>
      </c>
      <c r="D205" s="20" t="str">
        <f>'PLANILHA ORÇAMENTÁRIA'!D205</f>
        <v>JUNÇÃO SIMPLES, PVC, SERIE NORMAL, ESGOTO PREDIAL, DN 100 X 50 MM, JUNTA ELÁSTICA, FORNECIDO E INSTALADO EM PRUMADA DE ESGOTO SANITÁRIO OU VENTILAÇÃO. AF_12/2014</v>
      </c>
      <c r="E205" s="445" t="s">
        <v>1422</v>
      </c>
      <c r="F205" s="445"/>
      <c r="G205" s="445"/>
      <c r="H205" s="445"/>
      <c r="I205" s="232">
        <v>15</v>
      </c>
      <c r="J205" s="48" t="s">
        <v>309</v>
      </c>
    </row>
    <row r="206" spans="2:10" ht="51" x14ac:dyDescent="0.25">
      <c r="B206" s="48" t="str">
        <f>'PLANILHA ORÇAMENTÁRIA'!B206</f>
        <v>12.34</v>
      </c>
      <c r="C206" s="48">
        <f>'PLANILHA ORÇAMENTÁRIA'!C206</f>
        <v>89797</v>
      </c>
      <c r="D206" s="20" t="str">
        <f>'PLANILHA ORÇAMENTÁRIA'!D206</f>
        <v>JUNÇÃO SIMPLES, PVC, SERIE NORMAL, ESGOTO PREDIAL, DN 100 X 100 MM, JUNTA ELÁSTICA, FORNECIDO E INSTALADO EM RAMAL DE DESCARGA OU RAMAL DE ESGOTO SANITÁRIO. AF_12/2014</v>
      </c>
      <c r="E206" s="445" t="s">
        <v>1422</v>
      </c>
      <c r="F206" s="445"/>
      <c r="G206" s="445"/>
      <c r="H206" s="445"/>
      <c r="I206" s="232">
        <v>8</v>
      </c>
      <c r="J206" s="48" t="s">
        <v>309</v>
      </c>
    </row>
    <row r="207" spans="2:10" ht="51" x14ac:dyDescent="0.25">
      <c r="B207" s="48" t="str">
        <f>'PLANILHA ORÇAMENTÁRIA'!B207</f>
        <v>12.35</v>
      </c>
      <c r="C207" s="48">
        <f>'PLANILHA ORÇAMENTÁRIA'!C207</f>
        <v>89785</v>
      </c>
      <c r="D207" s="20" t="str">
        <f>'PLANILHA ORÇAMENTÁRIA'!D207</f>
        <v>JUNÇÃO SIMPLES, PVC, SERIE NORMAL, ESGOTO PREDIAL, DN 50 X 50 MM, JUNTA ELÁSTICA, FORNECIDO E INSTALADO EM RAMAL DE DESCARGA OU RAMAL DE ESGOTO SANITÁRIO. AF_12/2014</v>
      </c>
      <c r="E207" s="445" t="s">
        <v>1422</v>
      </c>
      <c r="F207" s="445"/>
      <c r="G207" s="445"/>
      <c r="H207" s="445"/>
      <c r="I207" s="232">
        <v>6</v>
      </c>
      <c r="J207" s="48" t="s">
        <v>309</v>
      </c>
    </row>
    <row r="208" spans="2:10" ht="51" x14ac:dyDescent="0.25">
      <c r="B208" s="48" t="str">
        <f>'PLANILHA ORÇAMENTÁRIA'!B208</f>
        <v>12.36</v>
      </c>
      <c r="C208" s="48">
        <f>'PLANILHA ORÇAMENTÁRIA'!C208</f>
        <v>89783</v>
      </c>
      <c r="D208" s="20" t="str">
        <f>'PLANILHA ORÇAMENTÁRIA'!D208</f>
        <v>JUNÇÃO SIMPLES, PVC, SERIE NORMAL, ESGOTO PREDIAL, DN 40 MM, JUNTA SOLDÁVEL, FORNECIDO E INSTALADO EM RAMAL DE DESCARGA OU RAMAL DE ESGOTO SANITÁRIO. AF_12/2014</v>
      </c>
      <c r="E208" s="445" t="s">
        <v>1422</v>
      </c>
      <c r="F208" s="445"/>
      <c r="G208" s="445"/>
      <c r="H208" s="445"/>
      <c r="I208" s="232">
        <v>4</v>
      </c>
      <c r="J208" s="48" t="s">
        <v>309</v>
      </c>
    </row>
    <row r="209" spans="2:10" ht="38.25" x14ac:dyDescent="0.25">
      <c r="B209" s="48" t="str">
        <f>'PLANILHA ORÇAMENTÁRIA'!B209</f>
        <v>12.37</v>
      </c>
      <c r="C209" s="48" t="str">
        <f>'PLANILHA ORÇAMENTÁRIA'!C209</f>
        <v>PMA HID 022</v>
      </c>
      <c r="D209" s="20" t="str">
        <f>'PLANILHA ORÇAMENTÁRIA'!D209</f>
        <v>REDUÇÃO EXCÊNTRICA, PVC, SERIE R, ÁGUA PLUVIAL, DN 100 X 50 MM, JUNTA ELÁSTICA, FORNECIDO E INSTALADO EM CONDUTORES VERTICAIS DE ÁGUAS PLUVIAIS. AF_06/2022</v>
      </c>
      <c r="E209" s="445" t="s">
        <v>1422</v>
      </c>
      <c r="F209" s="445"/>
      <c r="G209" s="445"/>
      <c r="H209" s="445"/>
      <c r="I209" s="232">
        <v>4</v>
      </c>
      <c r="J209" s="48" t="s">
        <v>309</v>
      </c>
    </row>
    <row r="210" spans="2:10" ht="51" x14ac:dyDescent="0.25">
      <c r="B210" s="48" t="str">
        <f>'PLANILHA ORÇAMENTÁRIA'!B210</f>
        <v>12.38</v>
      </c>
      <c r="C210" s="48">
        <f>'PLANILHA ORÇAMENTÁRIA'!C210</f>
        <v>89707</v>
      </c>
      <c r="D210" s="20" t="str">
        <f>'PLANILHA ORÇAMENTÁRIA'!D210</f>
        <v>CAIXA SIFONADA, PVC, DN 100 X 100 X 50 MM, JUNTA ELÁSTICA, FORNECIDA E INSTALADA EM RAMAL DE DESCARGA OU EM RAMAL DE ESGOTO SANITÁRIO. AF_12/2014</v>
      </c>
      <c r="E210" s="445" t="s">
        <v>1422</v>
      </c>
      <c r="F210" s="445"/>
      <c r="G210" s="445"/>
      <c r="H210" s="445"/>
      <c r="I210" s="232">
        <v>15</v>
      </c>
      <c r="J210" s="48" t="s">
        <v>309</v>
      </c>
    </row>
    <row r="211" spans="2:10" ht="38.25" x14ac:dyDescent="0.25">
      <c r="B211" s="48" t="str">
        <f>'PLANILHA ORÇAMENTÁRIA'!B211</f>
        <v>12.39</v>
      </c>
      <c r="C211" s="48">
        <f>'PLANILHA ORÇAMENTÁRIA'!C211</f>
        <v>89710</v>
      </c>
      <c r="D211" s="20" t="str">
        <f>'PLANILHA ORÇAMENTÁRIA'!D211</f>
        <v>RALO SECO, PVC, DN 100 X 40 MM, JUNTA SOLDÁVEL, FORNECIDO E INSTALADO EM RAMAL DE DESCARGA OU EM RAMAL DE ESGOTO SANITÁRIO. AF_12/2014</v>
      </c>
      <c r="E211" s="445" t="s">
        <v>1422</v>
      </c>
      <c r="F211" s="445"/>
      <c r="G211" s="445"/>
      <c r="H211" s="445"/>
      <c r="I211" s="232">
        <v>1</v>
      </c>
      <c r="J211" s="48" t="s">
        <v>309</v>
      </c>
    </row>
    <row r="212" spans="2:10" ht="13.15" customHeight="1" x14ac:dyDescent="0.25">
      <c r="B212" s="48" t="str">
        <f>'PLANILHA ORÇAMENTÁRIA'!B212</f>
        <v>12.40</v>
      </c>
      <c r="C212" s="48">
        <f>'PLANILHA ORÇAMENTÁRIA'!C212</f>
        <v>39319</v>
      </c>
      <c r="D212" s="20" t="str">
        <f>'PLANILHA ORÇAMENTÁRIA'!D212</f>
        <v>TERMINAL DE VENTILACAO, 50 MM, SERIE NORMAL, ESGOTO PREDIAL</v>
      </c>
      <c r="E212" s="445" t="s">
        <v>1422</v>
      </c>
      <c r="F212" s="445"/>
      <c r="G212" s="445"/>
      <c r="H212" s="445"/>
      <c r="I212" s="232">
        <v>9</v>
      </c>
      <c r="J212" s="48" t="s">
        <v>309</v>
      </c>
    </row>
    <row r="213" spans="2:10" ht="25.5" x14ac:dyDescent="0.25">
      <c r="B213" s="48" t="str">
        <f>'PLANILHA ORÇAMENTÁRIA'!B213</f>
        <v>12.41</v>
      </c>
      <c r="C213" s="48">
        <f>'PLANILHA ORÇAMENTÁRIA'!C213</f>
        <v>98110</v>
      </c>
      <c r="D213" s="20" t="str">
        <f>'PLANILHA ORÇAMENTÁRIA'!D213</f>
        <v>CAIXA DE GORDURA PEQUENA (CAPACIDADE: 19 L), CIRCULAR, EM PVC, DIÂMETRO INTERNO= 0,3 M. AF_12/2020</v>
      </c>
      <c r="E213" s="445" t="s">
        <v>1422</v>
      </c>
      <c r="F213" s="445"/>
      <c r="G213" s="445"/>
      <c r="H213" s="445"/>
      <c r="I213" s="232">
        <v>1</v>
      </c>
      <c r="J213" s="48" t="s">
        <v>309</v>
      </c>
    </row>
    <row r="214" spans="2:10" ht="51" x14ac:dyDescent="0.25">
      <c r="B214" s="48" t="str">
        <f>'PLANILHA ORÇAMENTÁRIA'!B214</f>
        <v>12.42</v>
      </c>
      <c r="C214" s="48">
        <f>'PLANILHA ORÇAMENTÁRIA'!C214</f>
        <v>97902</v>
      </c>
      <c r="D214" s="20" t="str">
        <f>'PLANILHA ORÇAMENTÁRIA'!D214</f>
        <v>CAIXA ENTERRADA HIDRÁULICA RETANGULAR EM ALVENARIA COM TIJOLOS CERÂMICOS MACIÇOS, DIMENSÕES INTERNAS: 0,6X0,6X0,6 M PARA REDE DE ESGOTO. AF_12/2020</v>
      </c>
      <c r="E214" s="445" t="s">
        <v>1746</v>
      </c>
      <c r="F214" s="445"/>
      <c r="G214" s="445"/>
      <c r="H214" s="445"/>
      <c r="I214" s="232">
        <v>8</v>
      </c>
      <c r="J214" s="48" t="s">
        <v>309</v>
      </c>
    </row>
    <row r="215" spans="2:10" ht="51" x14ac:dyDescent="0.25">
      <c r="B215" s="48" t="str">
        <f>'PLANILHA ORÇAMENTÁRIA'!B215</f>
        <v>12.43</v>
      </c>
      <c r="C215" s="48">
        <f>'PLANILHA ORÇAMENTÁRIA'!C215</f>
        <v>97903</v>
      </c>
      <c r="D215" s="20" t="str">
        <f>'PLANILHA ORÇAMENTÁRIA'!D215</f>
        <v>CAIXA ENTERRADA HIDRÁULICA RETANGULAR EM ALVENARIA COM TIJOLOS CERÂMICOS MACIÇOS, DIMENSÕES INTERNAS: 0,8X0,8X0,6 M PARA REDE DE ESGOTO. AF_12/2020</v>
      </c>
      <c r="E215" s="445" t="s">
        <v>1746</v>
      </c>
      <c r="F215" s="445"/>
      <c r="G215" s="445"/>
      <c r="H215" s="445"/>
      <c r="I215" s="232">
        <v>2</v>
      </c>
      <c r="J215" s="48" t="s">
        <v>309</v>
      </c>
    </row>
    <row r="216" spans="2:10" x14ac:dyDescent="0.25">
      <c r="B216" s="447" t="s">
        <v>1686</v>
      </c>
      <c r="C216" s="447"/>
      <c r="D216" s="447"/>
      <c r="E216" s="447"/>
      <c r="F216" s="447"/>
      <c r="G216" s="447"/>
      <c r="H216" s="447"/>
      <c r="I216" s="447"/>
      <c r="J216" s="447"/>
    </row>
    <row r="217" spans="2:10" ht="38.25" x14ac:dyDescent="0.25">
      <c r="B217" s="48" t="str">
        <f>'PLANILHA ORÇAMENTÁRIA'!B217</f>
        <v>12.44</v>
      </c>
      <c r="C217" s="48">
        <f>'PLANILHA ORÇAMENTÁRIA'!C217</f>
        <v>89512</v>
      </c>
      <c r="D217" s="20" t="str">
        <f>'PLANILHA ORÇAMENTÁRIA'!D217</f>
        <v>TUBO PVC, SÉRIE R, ÁGUA PLUVIAL, DN 100 MM, FORNECIDO E INSTALADO EM RAMAL DE ENCAMINHAMENTO. AF_06/2022</v>
      </c>
      <c r="E217" s="445" t="s">
        <v>1422</v>
      </c>
      <c r="F217" s="445"/>
      <c r="G217" s="445"/>
      <c r="H217" s="445"/>
      <c r="I217" s="232">
        <v>12</v>
      </c>
      <c r="J217" s="48" t="s">
        <v>248</v>
      </c>
    </row>
    <row r="218" spans="2:10" ht="38.25" x14ac:dyDescent="0.25">
      <c r="B218" s="48" t="str">
        <f>'PLANILHA ORÇAMENTÁRIA'!B218</f>
        <v>12.45</v>
      </c>
      <c r="C218" s="48">
        <f>'PLANILHA ORÇAMENTÁRIA'!C218</f>
        <v>104166</v>
      </c>
      <c r="D218" s="20" t="str">
        <f>'PLANILHA ORÇAMENTÁRIA'!D218</f>
        <v>TUBO PVC, SÉRIE R, ÁGUA PLUVIAL, DN 150 MM, FORNECIDO E INSTALADO EM RAMAL DE ENCAMINHAMENTO. AF_06/2022</v>
      </c>
      <c r="E218" s="445" t="s">
        <v>1422</v>
      </c>
      <c r="F218" s="445"/>
      <c r="G218" s="445"/>
      <c r="H218" s="445"/>
      <c r="I218" s="232">
        <v>26</v>
      </c>
      <c r="J218" s="48" t="s">
        <v>248</v>
      </c>
    </row>
    <row r="219" spans="2:10" ht="38.25" x14ac:dyDescent="0.25">
      <c r="B219" s="48" t="str">
        <f>'PLANILHA ORÇAMENTÁRIA'!B219</f>
        <v>12.46</v>
      </c>
      <c r="C219" s="48">
        <f>'PLANILHA ORÇAMENTÁRIA'!C219</f>
        <v>90696</v>
      </c>
      <c r="D219" s="20" t="str">
        <f>'PLANILHA ORÇAMENTÁRIA'!D219</f>
        <v>TUBO DE PVC PARA REDE COLETORA DE ESGOTO DE PAREDE MACIÇA, DN 200 MM, JUNTA ELÁSTICA - FORNECIMENTO E ASSENTAMENTO. AF_01/2021</v>
      </c>
      <c r="E219" s="445" t="s">
        <v>1422</v>
      </c>
      <c r="F219" s="445"/>
      <c r="G219" s="445"/>
      <c r="H219" s="445"/>
      <c r="I219" s="232">
        <v>36</v>
      </c>
      <c r="J219" s="48" t="s">
        <v>248</v>
      </c>
    </row>
    <row r="220" spans="2:10" ht="38.25" x14ac:dyDescent="0.25">
      <c r="B220" s="48" t="str">
        <f>'PLANILHA ORÇAMENTÁRIA'!B220</f>
        <v>12.47</v>
      </c>
      <c r="C220" s="48">
        <f>'PLANILHA ORÇAMENTÁRIA'!C220</f>
        <v>89584</v>
      </c>
      <c r="D220" s="20" t="str">
        <f>'PLANILHA ORÇAMENTÁRIA'!D220</f>
        <v>JOELHO 90 GRAUS, PVC, SERIE R, ÁGUA PLUVIAL, DN 100 MM, JUNTA ELÁSTICA, FORNECIDO E INSTALADO EM CONDUTORES VERTICAIS DE ÁGUAS PLUVIAIS. AF_06/2022</v>
      </c>
      <c r="E220" s="445" t="s">
        <v>1422</v>
      </c>
      <c r="F220" s="445"/>
      <c r="G220" s="445"/>
      <c r="H220" s="445"/>
      <c r="I220" s="232">
        <v>6</v>
      </c>
      <c r="J220" s="48" t="s">
        <v>309</v>
      </c>
    </row>
    <row r="221" spans="2:10" ht="38.25" x14ac:dyDescent="0.25">
      <c r="B221" s="48" t="str">
        <f>'PLANILHA ORÇAMENTÁRIA'!B221</f>
        <v>12.48</v>
      </c>
      <c r="C221" s="48">
        <f>'PLANILHA ORÇAMENTÁRIA'!C221</f>
        <v>89591</v>
      </c>
      <c r="D221" s="20" t="str">
        <f>'PLANILHA ORÇAMENTÁRIA'!D221</f>
        <v>JOELHO 45 GRAUS, PVC, SERIE R, ÁGUA PLUVIAL, DN 150 MM, JUNTA ELÁSTICA, FORNECIDO E INSTALADO EM CONDUTORES VERTICAIS DE ÁGUAS PLUVIAIS. AF_06/2022</v>
      </c>
      <c r="E221" s="445" t="s">
        <v>1422</v>
      </c>
      <c r="F221" s="445"/>
      <c r="G221" s="445"/>
      <c r="H221" s="445"/>
      <c r="I221" s="232">
        <v>2</v>
      </c>
      <c r="J221" s="48" t="s">
        <v>309</v>
      </c>
    </row>
    <row r="222" spans="2:10" ht="38.25" x14ac:dyDescent="0.25">
      <c r="B222" s="48" t="str">
        <f>'PLANILHA ORÇAMENTÁRIA'!B222</f>
        <v>12.49</v>
      </c>
      <c r="C222" s="48">
        <f>'PLANILHA ORÇAMENTÁRIA'!C222</f>
        <v>104176</v>
      </c>
      <c r="D222" s="20" t="str">
        <f>'PLANILHA ORÇAMENTÁRIA'!D222</f>
        <v>JUNÇÃO SIMPLES, PVC, SERIE R, ÁGUA PLUVIAL, DN 150 X 150 MM, JUNTA ELÁSTICA, FORNECIDO E INSTALADO EM RAMAL DE ENCAMINHAMENTO. AF_06/2022</v>
      </c>
      <c r="E222" s="445" t="s">
        <v>1422</v>
      </c>
      <c r="F222" s="445"/>
      <c r="G222" s="445"/>
      <c r="H222" s="445"/>
      <c r="I222" s="232">
        <v>6</v>
      </c>
      <c r="J222" s="48" t="s">
        <v>309</v>
      </c>
    </row>
    <row r="223" spans="2:10" x14ac:dyDescent="0.25">
      <c r="B223" s="48" t="str">
        <f>'PLANILHA ORÇAMENTÁRIA'!B223</f>
        <v>12.50</v>
      </c>
      <c r="C223" s="48">
        <f>'PLANILHA ORÇAMENTÁRIA'!C223</f>
        <v>11708</v>
      </c>
      <c r="D223" s="20" t="str">
        <f>'PLANILHA ORÇAMENTÁRIA'!D223</f>
        <v>RALO FOFO SEMIESFERICO, 100 MM, PARA CALHAS</v>
      </c>
      <c r="E223" s="445" t="s">
        <v>1422</v>
      </c>
      <c r="F223" s="445"/>
      <c r="G223" s="445"/>
      <c r="H223" s="445"/>
      <c r="I223" s="232">
        <v>6</v>
      </c>
      <c r="J223" s="48" t="s">
        <v>309</v>
      </c>
    </row>
    <row r="224" spans="2:10" ht="51" x14ac:dyDescent="0.25">
      <c r="B224" s="48" t="str">
        <f>'PLANILHA ORÇAMENTÁRIA'!B224</f>
        <v>12.51</v>
      </c>
      <c r="C224" s="48">
        <f>'PLANILHA ORÇAMENTÁRIA'!C224</f>
        <v>99253</v>
      </c>
      <c r="D224" s="20" t="str">
        <f>'PLANILHA ORÇAMENTÁRIA'!D224</f>
        <v>CAIXA ENTERRADA HIDRÁULICA RETANGULAR EM ALVENARIA COM TIJOLOS CERÂMICOS MACIÇOS, DIMENSÕES INTERNAS: 0,6X0,6X0,6 M PARA REDE DE DRENAGEM. AF_12/2020</v>
      </c>
      <c r="E224" s="445" t="s">
        <v>1746</v>
      </c>
      <c r="F224" s="445"/>
      <c r="G224" s="445"/>
      <c r="H224" s="445"/>
      <c r="I224" s="232">
        <v>4</v>
      </c>
      <c r="J224" s="48" t="s">
        <v>309</v>
      </c>
    </row>
    <row r="225" spans="2:10" x14ac:dyDescent="0.25">
      <c r="B225" s="448"/>
      <c r="C225" s="448"/>
      <c r="D225" s="448"/>
      <c r="E225" s="448"/>
      <c r="F225" s="448"/>
      <c r="G225" s="448"/>
      <c r="H225" s="448"/>
      <c r="I225" s="448"/>
      <c r="J225" s="448"/>
    </row>
    <row r="226" spans="2:10" x14ac:dyDescent="0.25">
      <c r="B226" s="449" t="s">
        <v>70</v>
      </c>
      <c r="C226" s="449"/>
      <c r="D226" s="450" t="s">
        <v>268</v>
      </c>
      <c r="E226" s="450"/>
      <c r="F226" s="450"/>
      <c r="G226" s="450"/>
      <c r="H226" s="450"/>
      <c r="I226" s="450"/>
      <c r="J226" s="450"/>
    </row>
    <row r="227" spans="2:10" ht="25.5" x14ac:dyDescent="0.25">
      <c r="B227" s="21" t="str">
        <f>'PLANILHA ORÇAMENTÁRIA'!B227</f>
        <v>13.1</v>
      </c>
      <c r="C227" s="153" t="str">
        <f>'PLANILHA ORÇAMENTÁRIA'!C227</f>
        <v>PMA ELE 001</v>
      </c>
      <c r="D227" s="24" t="str">
        <f>'PLANILHA ORÇAMENTÁRIA'!D227</f>
        <v>CAIXA DE PASSAGEM 30X30X40 DE CONCRETO COM TAMPA  - FORNECIMENTO E INSTALAÇÃO</v>
      </c>
      <c r="E227" s="446" t="s">
        <v>1423</v>
      </c>
      <c r="F227" s="446"/>
      <c r="G227" s="446"/>
      <c r="H227" s="446"/>
      <c r="I227" s="48">
        <v>1</v>
      </c>
      <c r="J227" s="48" t="s">
        <v>309</v>
      </c>
    </row>
    <row r="228" spans="2:10" ht="38.25" x14ac:dyDescent="0.25">
      <c r="B228" s="21" t="str">
        <f>'PLANILHA ORÇAMENTÁRIA'!B228</f>
        <v>13.2</v>
      </c>
      <c r="C228" s="153">
        <f>'PLANILHA ORÇAMENTÁRIA'!C228</f>
        <v>95801</v>
      </c>
      <c r="D228" s="24" t="str">
        <f>'PLANILHA ORÇAMENTÁRIA'!D228</f>
        <v>CONDULETE DE ALUMÍNIO, TIPO X, PARA ELETRODUTO DE AÇO GALVANIZADO DN 20 MM (3/4''), APARENTE - FORNECIMENTO E INSTALAÇÃO. AF_11/2016_P</v>
      </c>
      <c r="E228" s="446" t="s">
        <v>1423</v>
      </c>
      <c r="F228" s="446"/>
      <c r="G228" s="446"/>
      <c r="H228" s="446"/>
      <c r="I228" s="231">
        <v>183</v>
      </c>
      <c r="J228" s="48" t="s">
        <v>309</v>
      </c>
    </row>
    <row r="229" spans="2:10" ht="38.25" x14ac:dyDescent="0.25">
      <c r="B229" s="21" t="str">
        <f>'PLANILHA ORÇAMENTÁRIA'!B229</f>
        <v>13.3</v>
      </c>
      <c r="C229" s="153" t="str">
        <f>'PLANILHA ORÇAMENTÁRIA'!C229</f>
        <v>PMA ELE 002</v>
      </c>
      <c r="D229" s="24" t="str">
        <f>'PLANILHA ORÇAMENTÁRIA'!D229</f>
        <v>CONECTOR RETO DE ALUMINIO PARA ELETRODUTO DE 3/4", PARA ADAPTAR ENTRADA DE ELETRODUTO METALICO FLEXIVEL EM QUADROS - FORNECIMENTO E INSTALAÇÃO</v>
      </c>
      <c r="E229" s="446" t="s">
        <v>1423</v>
      </c>
      <c r="F229" s="446"/>
      <c r="G229" s="446"/>
      <c r="H229" s="446"/>
      <c r="I229" s="231">
        <v>400</v>
      </c>
      <c r="J229" s="48" t="s">
        <v>309</v>
      </c>
    </row>
    <row r="230" spans="2:10" ht="25.5" x14ac:dyDescent="0.25">
      <c r="B230" s="21" t="str">
        <f>'PLANILHA ORÇAMENTÁRIA'!B230</f>
        <v>13.4</v>
      </c>
      <c r="C230" s="153" t="str">
        <f>'PLANILHA ORÇAMENTÁRIA'!C230</f>
        <v>PMA ELE 003</v>
      </c>
      <c r="D230" s="24" t="str">
        <f>'PLANILHA ORÇAMENTÁRIA'!D230</f>
        <v>CAIXA DE PASSAGEM METÁLICA 30x30X10CM (SOBREPOR), FORNECIMENTO E INSTALACAO</v>
      </c>
      <c r="E230" s="446" t="s">
        <v>1423</v>
      </c>
      <c r="F230" s="446"/>
      <c r="G230" s="446"/>
      <c r="H230" s="446"/>
      <c r="I230" s="231">
        <v>1</v>
      </c>
      <c r="J230" s="48" t="s">
        <v>309</v>
      </c>
    </row>
    <row r="231" spans="2:10" ht="25.5" x14ac:dyDescent="0.25">
      <c r="B231" s="21" t="str">
        <f>'PLANILHA ORÇAMENTÁRIA'!B231</f>
        <v>13.5</v>
      </c>
      <c r="C231" s="153" t="str">
        <f>'PLANILHA ORÇAMENTÁRIA'!C231</f>
        <v>PMA ELE 004</v>
      </c>
      <c r="D231" s="24" t="str">
        <f>'PLANILHA ORÇAMENTÁRIA'!D231</f>
        <v>BUCHA EM ALUMINIO, COM ROSCA, DE 3/4", PARA ELETRODUTO - FORNECIMENTO E INSTALAÇÃO</v>
      </c>
      <c r="E231" s="446" t="s">
        <v>1423</v>
      </c>
      <c r="F231" s="446"/>
      <c r="G231" s="446"/>
      <c r="H231" s="446"/>
      <c r="I231" s="232">
        <v>400</v>
      </c>
      <c r="J231" s="48" t="s">
        <v>309</v>
      </c>
    </row>
    <row r="232" spans="2:10" ht="38.25" x14ac:dyDescent="0.25">
      <c r="B232" s="21" t="str">
        <f>'PLANILHA ORÇAMENTÁRIA'!B232</f>
        <v>13.6</v>
      </c>
      <c r="C232" s="153">
        <f>'PLANILHA ORÇAMENTÁRIA'!C232</f>
        <v>91953</v>
      </c>
      <c r="D232" s="24" t="str">
        <f>'PLANILHA ORÇAMENTÁRIA'!D232</f>
        <v>INTERRUPTOR SIMPLES (1 MÓDULO), 10A/250V, INCLUINDO SUPORTE E PLACA - FORNECIMENTO E INSTALAÇÃO. AF_12/2015</v>
      </c>
      <c r="E232" s="446" t="s">
        <v>1423</v>
      </c>
      <c r="F232" s="446"/>
      <c r="G232" s="446"/>
      <c r="H232" s="446"/>
      <c r="I232" s="232">
        <v>32</v>
      </c>
      <c r="J232" s="48" t="s">
        <v>309</v>
      </c>
    </row>
    <row r="233" spans="2:10" ht="38.25" x14ac:dyDescent="0.25">
      <c r="B233" s="21" t="str">
        <f>'PLANILHA ORÇAMENTÁRIA'!B233</f>
        <v>13.7</v>
      </c>
      <c r="C233" s="153">
        <f>'PLANILHA ORÇAMENTÁRIA'!C233</f>
        <v>91955</v>
      </c>
      <c r="D233" s="24" t="str">
        <f>'PLANILHA ORÇAMENTÁRIA'!D233</f>
        <v>INTERRUPTOR PARALELO (1 MÓDULO), 10A/250V, INCLUINDO SUPORTE E PLACA - FORNECIMENTO E INSTALAÇÃO. AF_12/2015</v>
      </c>
      <c r="E233" s="446" t="s">
        <v>1621</v>
      </c>
      <c r="F233" s="446"/>
      <c r="G233" s="446"/>
      <c r="H233" s="446"/>
      <c r="I233" s="232">
        <v>15</v>
      </c>
      <c r="J233" s="48" t="s">
        <v>309</v>
      </c>
    </row>
    <row r="234" spans="2:10" ht="38.25" x14ac:dyDescent="0.25">
      <c r="B234" s="21" t="str">
        <f>'PLANILHA ORÇAMENTÁRIA'!B234</f>
        <v>13.8</v>
      </c>
      <c r="C234" s="153">
        <f>'PLANILHA ORÇAMENTÁRIA'!C234</f>
        <v>91961</v>
      </c>
      <c r="D234" s="24" t="str">
        <f>'PLANILHA ORÇAMENTÁRIA'!D234</f>
        <v>INTERRUPTOR PARALELO (2 MÓDULOS), 10A/250V, INCLUINDO SUPORTE E PLACA - FORNECIMENTO E INSTALAÇÃO. AF_12/2015</v>
      </c>
      <c r="E234" s="446" t="s">
        <v>1621</v>
      </c>
      <c r="F234" s="446"/>
      <c r="G234" s="446"/>
      <c r="H234" s="446"/>
      <c r="I234" s="232">
        <v>1</v>
      </c>
      <c r="J234" s="48" t="s">
        <v>309</v>
      </c>
    </row>
    <row r="235" spans="2:10" ht="38.25" x14ac:dyDescent="0.25">
      <c r="B235" s="21" t="str">
        <f>'PLANILHA ORÇAMENTÁRIA'!B235</f>
        <v>13.9</v>
      </c>
      <c r="C235" s="153">
        <f>'PLANILHA ORÇAMENTÁRIA'!C235</f>
        <v>92000</v>
      </c>
      <c r="D235" s="24" t="str">
        <f>'PLANILHA ORÇAMENTÁRIA'!D235</f>
        <v>TOMADA BAIXA DE EMBUTIR (1 MÓDULO), 2P+T 10 A, INCLUINDO SUPORTE E PLACA - FORNECIMENTO E INSTALAÇÃO. AF_12/2015</v>
      </c>
      <c r="E235" s="446" t="s">
        <v>1621</v>
      </c>
      <c r="F235" s="446"/>
      <c r="G235" s="446"/>
      <c r="H235" s="446"/>
      <c r="I235" s="232">
        <v>20</v>
      </c>
      <c r="J235" s="48" t="s">
        <v>309</v>
      </c>
    </row>
    <row r="236" spans="2:10" ht="38.25" x14ac:dyDescent="0.25">
      <c r="B236" s="21" t="str">
        <f>'PLANILHA ORÇAMENTÁRIA'!B236</f>
        <v>13.10</v>
      </c>
      <c r="C236" s="153">
        <f>'PLANILHA ORÇAMENTÁRIA'!C236</f>
        <v>91996</v>
      </c>
      <c r="D236" s="24" t="str">
        <f>'PLANILHA ORÇAMENTÁRIA'!D236</f>
        <v>TOMADA MÉDIA DE EMBUTIR (1 MÓDULO), 2P+T 10 A, INCLUINDO SUPORTE E PLACA - FORNECIMENTO E INSTALAÇÃO. AF_12/2015</v>
      </c>
      <c r="E236" s="446" t="s">
        <v>1621</v>
      </c>
      <c r="F236" s="446"/>
      <c r="G236" s="446"/>
      <c r="H236" s="446"/>
      <c r="I236" s="232">
        <v>15</v>
      </c>
      <c r="J236" s="48" t="s">
        <v>309</v>
      </c>
    </row>
    <row r="237" spans="2:10" ht="38.25" x14ac:dyDescent="0.25">
      <c r="B237" s="21" t="str">
        <f>'PLANILHA ORÇAMENTÁRIA'!B237</f>
        <v>13.11</v>
      </c>
      <c r="C237" s="153">
        <f>'PLANILHA ORÇAMENTÁRIA'!C237</f>
        <v>92008</v>
      </c>
      <c r="D237" s="24" t="str">
        <f>'PLANILHA ORÇAMENTÁRIA'!D237</f>
        <v>TOMADA BAIXA DE EMBUTIR (2 MÓDULOS), 2P+T 10 A, INCLUINDO SUPORTE E PLACA - FORNECIMENTO E INSTALAÇÃO. AF_12/2015</v>
      </c>
      <c r="E237" s="446" t="s">
        <v>1621</v>
      </c>
      <c r="F237" s="446"/>
      <c r="G237" s="446"/>
      <c r="H237" s="446"/>
      <c r="I237" s="232">
        <v>5</v>
      </c>
      <c r="J237" s="48" t="s">
        <v>309</v>
      </c>
    </row>
    <row r="238" spans="2:10" ht="38.25" x14ac:dyDescent="0.25">
      <c r="B238" s="21" t="str">
        <f>'PLANILHA ORÇAMENTÁRIA'!B238</f>
        <v>13.12</v>
      </c>
      <c r="C238" s="153">
        <f>'PLANILHA ORÇAMENTÁRIA'!C238</f>
        <v>92004</v>
      </c>
      <c r="D238" s="24" t="str">
        <f>'PLANILHA ORÇAMENTÁRIA'!D238</f>
        <v>TOMADA MÉDIA DE EMBUTIR (2 MÓDULOS), 2P+T 10 A, INCLUINDO SUPORTE E PLACA - FORNECIMENTO E INSTALAÇÃO. AF_12/2016</v>
      </c>
      <c r="E238" s="446" t="s">
        <v>1621</v>
      </c>
      <c r="F238" s="446"/>
      <c r="G238" s="446"/>
      <c r="H238" s="446"/>
      <c r="I238" s="232">
        <v>18</v>
      </c>
      <c r="J238" s="48" t="s">
        <v>309</v>
      </c>
    </row>
    <row r="239" spans="2:10" ht="38.25" x14ac:dyDescent="0.25">
      <c r="B239" s="21" t="str">
        <f>'PLANILHA ORÇAMENTÁRIA'!B239</f>
        <v>13.13</v>
      </c>
      <c r="C239" s="153">
        <f>'PLANILHA ORÇAMENTÁRIA'!C239</f>
        <v>92001</v>
      </c>
      <c r="D239" s="24" t="str">
        <f>'PLANILHA ORÇAMENTÁRIA'!D239</f>
        <v>TOMADA BAIXA DE EMBUTIR (1 MÓDULO), 2P+T 20 A, INCLUINDO SUPORTE E PLACA - FORNECIMENTO E INSTALAÇÃO. AF_12/2015</v>
      </c>
      <c r="E239" s="446" t="s">
        <v>1621</v>
      </c>
      <c r="F239" s="446"/>
      <c r="G239" s="446"/>
      <c r="H239" s="446"/>
      <c r="I239" s="232">
        <v>7</v>
      </c>
      <c r="J239" s="48" t="s">
        <v>309</v>
      </c>
    </row>
    <row r="240" spans="2:10" ht="38.25" x14ac:dyDescent="0.25">
      <c r="B240" s="21" t="str">
        <f>'PLANILHA ORÇAMENTÁRIA'!B240</f>
        <v>13.14</v>
      </c>
      <c r="C240" s="153">
        <f>'PLANILHA ORÇAMENTÁRIA'!C240</f>
        <v>92005</v>
      </c>
      <c r="D240" s="24" t="str">
        <f>'PLANILHA ORÇAMENTÁRIA'!D240</f>
        <v>TOMADA MÉDIA DE EMBUTIR (2 MÓDULOS), 2P+T 20 A, INCLUINDO SUPORTE E PLACA - FORNECIMENTO E INSTALAÇÃO. AF_12/2016</v>
      </c>
      <c r="E240" s="446" t="s">
        <v>1621</v>
      </c>
      <c r="F240" s="446"/>
      <c r="G240" s="446"/>
      <c r="H240" s="446"/>
      <c r="I240" s="232">
        <v>2</v>
      </c>
      <c r="J240" s="48" t="s">
        <v>309</v>
      </c>
    </row>
    <row r="241" spans="2:10" ht="38.25" x14ac:dyDescent="0.25">
      <c r="B241" s="21" t="str">
        <f>'PLANILHA ORÇAMENTÁRIA'!B241</f>
        <v>13.15</v>
      </c>
      <c r="C241" s="153">
        <f>'PLANILHA ORÇAMENTÁRIA'!C241</f>
        <v>91997</v>
      </c>
      <c r="D241" s="24" t="str">
        <f>'PLANILHA ORÇAMENTÁRIA'!D241</f>
        <v>TOMADA MÉDIA DE EMBUTIR (1 MÓDULO), 2P+T 20 A, INCLUINDO SUPORTE E PLACA - FORNECIMENTO E INSTALAÇÃO. AF_12/2015</v>
      </c>
      <c r="E241" s="446" t="s">
        <v>1621</v>
      </c>
      <c r="F241" s="446"/>
      <c r="G241" s="446"/>
      <c r="H241" s="446"/>
      <c r="I241" s="232">
        <v>15</v>
      </c>
      <c r="J241" s="48" t="s">
        <v>309</v>
      </c>
    </row>
    <row r="242" spans="2:10" ht="38.25" x14ac:dyDescent="0.25">
      <c r="B242" s="21" t="str">
        <f>'PLANILHA ORÇAMENTÁRIA'!B242</f>
        <v>13.16</v>
      </c>
      <c r="C242" s="153">
        <f>'PLANILHA ORÇAMENTÁRIA'!C242</f>
        <v>91993</v>
      </c>
      <c r="D242" s="24" t="str">
        <f>'PLANILHA ORÇAMENTÁRIA'!D242</f>
        <v>TOMADA ALTA DE EMBUTIR (1 MÓDULO), 2P+T 20 A, INCLUINDO SUPORTE E PLACA - FORNECIMENTO E INSTALAÇÃO. AF_12/2015</v>
      </c>
      <c r="E242" s="446" t="s">
        <v>1628</v>
      </c>
      <c r="F242" s="446"/>
      <c r="G242" s="446"/>
      <c r="H242" s="446"/>
      <c r="I242" s="232">
        <v>26</v>
      </c>
      <c r="J242" s="48" t="s">
        <v>309</v>
      </c>
    </row>
    <row r="243" spans="2:10" ht="38.25" x14ac:dyDescent="0.25">
      <c r="B243" s="21" t="str">
        <f>'PLANILHA ORÇAMENTÁRIA'!B243</f>
        <v>13.17</v>
      </c>
      <c r="C243" s="153">
        <f>'PLANILHA ORÇAMENTÁRIA'!C243</f>
        <v>91941</v>
      </c>
      <c r="D243" s="24" t="str">
        <f>'PLANILHA ORÇAMENTÁRIA'!D243</f>
        <v>CAIXA RETANGULAR 4" X 2" BAIXA (0,30 M DO PISO), PVC, INSTALADA EM PAREDE - FORNECIMENTO E INSTALAÇÃO. AF_12/2015</v>
      </c>
      <c r="E243" s="446" t="s">
        <v>1423</v>
      </c>
      <c r="F243" s="446"/>
      <c r="G243" s="446"/>
      <c r="H243" s="446"/>
      <c r="I243" s="232">
        <v>32</v>
      </c>
      <c r="J243" s="48" t="s">
        <v>309</v>
      </c>
    </row>
    <row r="244" spans="2:10" ht="38.25" x14ac:dyDescent="0.25">
      <c r="B244" s="21" t="str">
        <f>'PLANILHA ORÇAMENTÁRIA'!B244</f>
        <v>13.18</v>
      </c>
      <c r="C244" s="153">
        <f>'PLANILHA ORÇAMENTÁRIA'!C244</f>
        <v>91940</v>
      </c>
      <c r="D244" s="24" t="str">
        <f>'PLANILHA ORÇAMENTÁRIA'!D244</f>
        <v>CAIXA RETANGULAR 4" X 2" MÉDIA (1,30 M DO PISO), PVC, INSTALADA EM PAREDE - FORNECIMENTO E INSTALAÇÃO. AF_12/2015</v>
      </c>
      <c r="E244" s="446" t="s">
        <v>1423</v>
      </c>
      <c r="F244" s="446"/>
      <c r="G244" s="446"/>
      <c r="H244" s="446"/>
      <c r="I244" s="232">
        <v>98</v>
      </c>
      <c r="J244" s="48" t="s">
        <v>309</v>
      </c>
    </row>
    <row r="245" spans="2:10" ht="25.5" x14ac:dyDescent="0.25">
      <c r="B245" s="21" t="str">
        <f>'PLANILHA ORÇAMENTÁRIA'!B245</f>
        <v>13.19</v>
      </c>
      <c r="C245" s="153">
        <f>'PLANILHA ORÇAMENTÁRIA'!C245</f>
        <v>90456</v>
      </c>
      <c r="D245" s="24" t="str">
        <f>'PLANILHA ORÇAMENTÁRIA'!D245</f>
        <v>QUEBRA EM ALVENARIA PARA INSTALAÇÃO DE CAIXA DE TOMADA (4X4 OU 4X2). AF_05/2015</v>
      </c>
      <c r="E245" s="446" t="s">
        <v>1423</v>
      </c>
      <c r="F245" s="446"/>
      <c r="G245" s="446"/>
      <c r="H245" s="446"/>
      <c r="I245" s="232">
        <v>130</v>
      </c>
      <c r="J245" s="48" t="s">
        <v>309</v>
      </c>
    </row>
    <row r="246" spans="2:10" ht="38.25" x14ac:dyDescent="0.25">
      <c r="B246" s="21" t="str">
        <f>'PLANILHA ORÇAMENTÁRIA'!B246</f>
        <v>13.20</v>
      </c>
      <c r="C246" s="153" t="str">
        <f>'PLANILHA ORÇAMENTÁRIA'!C246</f>
        <v>PMA ELE 005</v>
      </c>
      <c r="D246" s="24" t="str">
        <f>'PLANILHA ORÇAMENTÁRIA'!D246</f>
        <v>ELETRODUTO RÍGIDO ROSCÁVEL, PVC, DN 50 MM (2"), PARA CIRCUITOS TERMINAIS, INSTALADO EM PAREDE - FORNECIMENTO E INSTALAÇÃO.</v>
      </c>
      <c r="E246" s="446" t="s">
        <v>1423</v>
      </c>
      <c r="F246" s="446"/>
      <c r="G246" s="446"/>
      <c r="H246" s="446"/>
      <c r="I246" s="232">
        <v>20</v>
      </c>
      <c r="J246" s="48" t="s">
        <v>248</v>
      </c>
    </row>
    <row r="247" spans="2:10" ht="38.25" x14ac:dyDescent="0.25">
      <c r="B247" s="21" t="str">
        <f>'PLANILHA ORÇAMENTÁRIA'!B247</f>
        <v>13.21</v>
      </c>
      <c r="C247" s="153" t="str">
        <f>'PLANILHA ORÇAMENTÁRIA'!C247</f>
        <v>PMA ELE 006</v>
      </c>
      <c r="D247" s="24" t="str">
        <f>'PLANILHA ORÇAMENTÁRIA'!D247</f>
        <v xml:space="preserve">ELETRODUTO RÍGIDO ROSCÁVEL, PVC, DN 25 MM (3/4"), PARA CIRCUITOS TERMINAIS, INSTALADO EM PAREDE - FORNECIMENTO E INSTALAÇÃO. </v>
      </c>
      <c r="E247" s="446" t="s">
        <v>1423</v>
      </c>
      <c r="F247" s="446"/>
      <c r="G247" s="446"/>
      <c r="H247" s="446"/>
      <c r="I247" s="232">
        <v>600</v>
      </c>
      <c r="J247" s="48" t="s">
        <v>248</v>
      </c>
    </row>
    <row r="248" spans="2:10" ht="38.25" x14ac:dyDescent="0.25">
      <c r="B248" s="21" t="str">
        <f>'PLANILHA ORÇAMENTÁRIA'!B248</f>
        <v>13.22</v>
      </c>
      <c r="C248" s="153" t="str">
        <f>'PLANILHA ORÇAMENTÁRIA'!C248</f>
        <v>PMA ELE 007</v>
      </c>
      <c r="D248" s="24" t="str">
        <f>'PLANILHA ORÇAMENTÁRIA'!D248</f>
        <v>ELETRODUTO RÍGIDO ROSCÁVEL, PVC, DN 32 MM (1"), PARA CIRCUITOS TERMINAIS, INSTALADO EM PAREDE - FORNECIMENTO E INSTALAÇÃO. AF_12/2015</v>
      </c>
      <c r="E248" s="446" t="s">
        <v>1423</v>
      </c>
      <c r="F248" s="446"/>
      <c r="G248" s="446"/>
      <c r="H248" s="446"/>
      <c r="I248" s="232">
        <v>40</v>
      </c>
      <c r="J248" s="48" t="s">
        <v>248</v>
      </c>
    </row>
    <row r="249" spans="2:10" ht="38.25" x14ac:dyDescent="0.25">
      <c r="B249" s="21" t="str">
        <f>'PLANILHA ORÇAMENTÁRIA'!B249</f>
        <v>13.23</v>
      </c>
      <c r="C249" s="153" t="str">
        <f>'PLANILHA ORÇAMENTÁRIA'!C249</f>
        <v>PMA ELE 008</v>
      </c>
      <c r="D249" s="24" t="str">
        <f>'PLANILHA ORÇAMENTÁRIA'!D249</f>
        <v>ELETRODUTO DE AÇO GALVANIZADO, CLASSE SEMI-PESADO, DN 100 MM (4''), APARENTE, INSTALADO EM TETO - FORNECIMENTO E INSTALAÇÃO.</v>
      </c>
      <c r="E249" s="446" t="s">
        <v>1423</v>
      </c>
      <c r="F249" s="446"/>
      <c r="G249" s="446"/>
      <c r="H249" s="446"/>
      <c r="I249" s="232">
        <v>15</v>
      </c>
      <c r="J249" s="48" t="s">
        <v>248</v>
      </c>
    </row>
    <row r="250" spans="2:10" ht="25.5" x14ac:dyDescent="0.25">
      <c r="B250" s="21" t="str">
        <f>'PLANILHA ORÇAMENTÁRIA'!B250</f>
        <v>13.24</v>
      </c>
      <c r="C250" s="153" t="str">
        <f>'PLANILHA ORÇAMENTÁRIA'!C250</f>
        <v>PMA ELE 009</v>
      </c>
      <c r="D250" s="24" t="str">
        <f>'PLANILHA ORÇAMENTÁRIA'!D250</f>
        <v>PERFILADOS CHAPA DE AÇO (38X38)MM - FORNECIMENTO E INSTALAÇÃO</v>
      </c>
      <c r="E250" s="446" t="s">
        <v>1423</v>
      </c>
      <c r="F250" s="446"/>
      <c r="G250" s="446"/>
      <c r="H250" s="446"/>
      <c r="I250" s="232">
        <v>50</v>
      </c>
      <c r="J250" s="48" t="s">
        <v>248</v>
      </c>
    </row>
    <row r="251" spans="2:10" ht="38.25" x14ac:dyDescent="0.25">
      <c r="B251" s="21" t="str">
        <f>'PLANILHA ORÇAMENTÁRIA'!B251</f>
        <v>13.25</v>
      </c>
      <c r="C251" s="153" t="str">
        <f>'PLANILHA ORÇAMENTÁRIA'!C251</f>
        <v>PMA ELE 010</v>
      </c>
      <c r="D251" s="24" t="str">
        <f>'PLANILHA ORÇAMENTÁRIA'!D251</f>
        <v>ELETRODUTO FLEXÍVEL LISO, PEAD, DN 50 MM (2"), PARA CIRCUITOS TERMINAIS, INSTALADO EM TETO - FORNECIMENTO E INSTALAÇÃO.</v>
      </c>
      <c r="E251" s="446" t="s">
        <v>1423</v>
      </c>
      <c r="F251" s="446"/>
      <c r="G251" s="446"/>
      <c r="H251" s="446"/>
      <c r="I251" s="232">
        <v>5</v>
      </c>
      <c r="J251" s="48" t="s">
        <v>248</v>
      </c>
    </row>
    <row r="252" spans="2:10" ht="38.25" x14ac:dyDescent="0.25">
      <c r="B252" s="21" t="str">
        <f>'PLANILHA ORÇAMENTÁRIA'!B252</f>
        <v>13.26</v>
      </c>
      <c r="C252" s="153" t="str">
        <f>'PLANILHA ORÇAMENTÁRIA'!C252</f>
        <v>PMA ELE 012</v>
      </c>
      <c r="D252" s="24" t="str">
        <f>'PLANILHA ORÇAMENTÁRIA'!D252</f>
        <v>ELETROCALHA LISA OU PERFURADA EM AÇO GALVANIZADO 150 x 50 MM,  TIPO ''U'', COM TAMPA – FORNECIMENTO E INSTALAÇÃO</v>
      </c>
      <c r="E252" s="446" t="s">
        <v>1423</v>
      </c>
      <c r="F252" s="446"/>
      <c r="G252" s="446"/>
      <c r="H252" s="446"/>
      <c r="I252" s="232">
        <v>40</v>
      </c>
      <c r="J252" s="48" t="s">
        <v>248</v>
      </c>
    </row>
    <row r="253" spans="2:10" ht="38.25" x14ac:dyDescent="0.25">
      <c r="B253" s="21" t="str">
        <f>'PLANILHA ORÇAMENTÁRIA'!B253</f>
        <v>13.27</v>
      </c>
      <c r="C253" s="153" t="str">
        <f>'PLANILHA ORÇAMENTÁRIA'!C253</f>
        <v>PMA ELE 014</v>
      </c>
      <c r="D253" s="24" t="str">
        <f>'PLANILHA ORÇAMENTÁRIA'!D253</f>
        <v>ELETROCALHA LISA OU PERFURADA EM AÇO GALVANIZADO 200 x 50 MM,  TIPO ''U'', COM TAMPA – FORNECIMENTO E INSTALAÇÃO</v>
      </c>
      <c r="E253" s="446" t="s">
        <v>1423</v>
      </c>
      <c r="F253" s="446"/>
      <c r="G253" s="446"/>
      <c r="H253" s="446"/>
      <c r="I253" s="232">
        <v>35</v>
      </c>
      <c r="J253" s="48" t="s">
        <v>248</v>
      </c>
    </row>
    <row r="254" spans="2:10" ht="38.25" x14ac:dyDescent="0.25">
      <c r="B254" s="21" t="str">
        <f>'PLANILHA ORÇAMENTÁRIA'!B254</f>
        <v>13.28</v>
      </c>
      <c r="C254" s="153" t="str">
        <f>'PLANILHA ORÇAMENTÁRIA'!C254</f>
        <v>PMA ELE 015</v>
      </c>
      <c r="D254" s="24" t="str">
        <f>'PLANILHA ORÇAMENTÁRIA'!D254</f>
        <v>TÊ HORIZONTAL 90 GRAUS 200X 200 MM PARA ELETROCALHA LISA OU PERFURADA EM AÇO GALVANIZADO - FORNECIMENTO E INSTALAÇÃO</v>
      </c>
      <c r="E254" s="446" t="s">
        <v>1423</v>
      </c>
      <c r="F254" s="446"/>
      <c r="G254" s="446"/>
      <c r="H254" s="446"/>
      <c r="I254" s="232">
        <v>1</v>
      </c>
      <c r="J254" s="48" t="s">
        <v>309</v>
      </c>
    </row>
    <row r="255" spans="2:10" ht="38.25" x14ac:dyDescent="0.25">
      <c r="B255" s="21" t="str">
        <f>'PLANILHA ORÇAMENTÁRIA'!B255</f>
        <v>13.29</v>
      </c>
      <c r="C255" s="153" t="str">
        <f>'PLANILHA ORÇAMENTÁRIA'!C255</f>
        <v>PMA ELE 016</v>
      </c>
      <c r="D255" s="24" t="str">
        <f>'PLANILHA ORÇAMENTÁRIA'!D255</f>
        <v>CURVA HORIZONTAL 90 GRAUS 125 X 50 MM PARA ELETROCALHA LISA OU PERFURADA EM AÇO GALVANIZADO - FORNECIMENTO E INSTALAÇÃO</v>
      </c>
      <c r="E255" s="446" t="s">
        <v>1423</v>
      </c>
      <c r="F255" s="446"/>
      <c r="G255" s="446"/>
      <c r="H255" s="446"/>
      <c r="I255" s="232">
        <v>1</v>
      </c>
      <c r="J255" s="48" t="s">
        <v>309</v>
      </c>
    </row>
    <row r="256" spans="2:10" ht="25.5" x14ac:dyDescent="0.25">
      <c r="B256" s="21" t="str">
        <f>'PLANILHA ORÇAMENTÁRIA'!B256</f>
        <v>13.30</v>
      </c>
      <c r="C256" s="153">
        <f>'PLANILHA ORÇAMENTÁRIA'!C256</f>
        <v>96989</v>
      </c>
      <c r="D256" s="24" t="str">
        <f>'PLANILHA ORÇAMENTÁRIA'!D256</f>
        <v>CAPTOR TIPO FRANKLIN PARA SPDA - FORNECIMENTO E INSTALAÇÃO. AF_12/2017</v>
      </c>
      <c r="E256" s="446" t="s">
        <v>1423</v>
      </c>
      <c r="F256" s="446"/>
      <c r="G256" s="446"/>
      <c r="H256" s="446"/>
      <c r="I256" s="232">
        <v>12</v>
      </c>
      <c r="J256" s="48" t="s">
        <v>248</v>
      </c>
    </row>
    <row r="257" spans="2:10" ht="38.25" x14ac:dyDescent="0.25">
      <c r="B257" s="21" t="str">
        <f>'PLANILHA ORÇAMENTÁRIA'!B257</f>
        <v>13.31</v>
      </c>
      <c r="C257" s="153" t="str">
        <f>'PLANILHA ORÇAMENTÁRIA'!C257</f>
        <v>PMA ELE 017</v>
      </c>
      <c r="D257" s="24" t="str">
        <f>'PLANILHA ORÇAMENTÁRIA'!D257</f>
        <v>CONECTOR METALICO TIPO PARAFUSO FENDIDO (SPLIT BOLT), COM SEPARADOR DE CABOS BIMETALICOS, PARA CABOS ATE 50 MM2 - FORNECIMENTO E INSTALAÇÃO</v>
      </c>
      <c r="E257" s="446" t="s">
        <v>1423</v>
      </c>
      <c r="F257" s="446"/>
      <c r="G257" s="446"/>
      <c r="H257" s="446"/>
      <c r="I257" s="232">
        <v>42</v>
      </c>
      <c r="J257" s="48" t="s">
        <v>309</v>
      </c>
    </row>
    <row r="258" spans="2:10" ht="38.25" x14ac:dyDescent="0.25">
      <c r="B258" s="21" t="str">
        <f>'PLANILHA ORÇAMENTÁRIA'!B258</f>
        <v>13.32</v>
      </c>
      <c r="C258" s="153" t="str">
        <f>'PLANILHA ORÇAMENTÁRIA'!C258</f>
        <v>PMA ELE 018</v>
      </c>
      <c r="D258" s="24" t="str">
        <f>'PLANILHA ORÇAMENTÁRIA'!D258</f>
        <v>GRAMPO METALICO TIPO OLHAL PARA HASTE DE ATERRAMENTO DE 5/8'', CONDUTOR DE *10* A 50 MM2 - FORNECIMENTO E INSTALAÇÃO</v>
      </c>
      <c r="E258" s="446" t="s">
        <v>1423</v>
      </c>
      <c r="F258" s="446"/>
      <c r="G258" s="446"/>
      <c r="H258" s="446"/>
      <c r="I258" s="232">
        <v>12</v>
      </c>
      <c r="J258" s="48" t="s">
        <v>309</v>
      </c>
    </row>
    <row r="259" spans="2:10" x14ac:dyDescent="0.25">
      <c r="B259" s="21" t="str">
        <f>'PLANILHA ORÇAMENTÁRIA'!B259</f>
        <v>13.33</v>
      </c>
      <c r="C259" s="153" t="str">
        <f>'PLANILHA ORÇAMENTÁRIA'!C259</f>
        <v>PMA ELE 019</v>
      </c>
      <c r="D259" s="24" t="str">
        <f>'PLANILHA ORÇAMENTÁRIA'!D259</f>
        <v xml:space="preserve">PRESILHA DE ALUMÍNIO PARA CABO 50MM² </v>
      </c>
      <c r="E259" s="446" t="s">
        <v>1423</v>
      </c>
      <c r="F259" s="446"/>
      <c r="G259" s="446"/>
      <c r="H259" s="446"/>
      <c r="I259" s="232">
        <v>30</v>
      </c>
      <c r="J259" s="48" t="s">
        <v>309</v>
      </c>
    </row>
    <row r="260" spans="2:10" ht="25.5" x14ac:dyDescent="0.25">
      <c r="B260" s="21" t="str">
        <f>'PLANILHA ORÇAMENTÁRIA'!B260</f>
        <v>13.34</v>
      </c>
      <c r="C260" s="153" t="str">
        <f>'PLANILHA ORÇAMENTÁRIA'!C260</f>
        <v>PMA ELE 020</v>
      </c>
      <c r="D260" s="24" t="str">
        <f>'PLANILHA ORÇAMENTÁRIA'!D260</f>
        <v>BARRA CHATA DE ALUMÍNIO 7/8X1/8" SEM FURO -  FORNECIMENTO E INSTALAÇÃO</v>
      </c>
      <c r="E260" s="446" t="s">
        <v>1423</v>
      </c>
      <c r="F260" s="446"/>
      <c r="G260" s="446"/>
      <c r="H260" s="446"/>
      <c r="I260" s="232">
        <v>50</v>
      </c>
      <c r="J260" s="48" t="s">
        <v>248</v>
      </c>
    </row>
    <row r="261" spans="2:10" ht="25.5" x14ac:dyDescent="0.25">
      <c r="B261" s="21" t="str">
        <f>'PLANILHA ORÇAMENTÁRIA'!B261</f>
        <v>13.35</v>
      </c>
      <c r="C261" s="153" t="str">
        <f>'PLANILHA ORÇAMENTÁRIA'!C261</f>
        <v>PMA ELE 021</v>
      </c>
      <c r="D261" s="24" t="str">
        <f>'PLANILHA ORÇAMENTÁRIA'!D261</f>
        <v>CONECTOR INTERFACE BIMETÁLICA BARRA X CABO DE COBRE 50MM²  -  FORNECIMENTO E INSTALAÇÃO</v>
      </c>
      <c r="E261" s="446" t="s">
        <v>1423</v>
      </c>
      <c r="F261" s="446"/>
      <c r="G261" s="446"/>
      <c r="H261" s="446"/>
      <c r="I261" s="232">
        <v>12</v>
      </c>
      <c r="J261" s="48" t="s">
        <v>47</v>
      </c>
    </row>
    <row r="262" spans="2:10" ht="25.5" x14ac:dyDescent="0.25">
      <c r="B262" s="21" t="str">
        <f>'PLANILHA ORÇAMENTÁRIA'!B262</f>
        <v>13.36</v>
      </c>
      <c r="C262" s="153" t="str">
        <f>'PLANILHA ORÇAMENTÁRIA'!C262</f>
        <v>PMA ELE 022</v>
      </c>
      <c r="D262" s="24" t="str">
        <f>'PLANILHA ORÇAMENTÁRIA'!D262</f>
        <v>CAIXA DE INSPECAO PARA ATERRAMENTO OU OUTRO USO, EM PVC, DN = 300 X 250 MM - FORNECIMENTO E INSTALAÇÃO</v>
      </c>
      <c r="E262" s="446" t="s">
        <v>1423</v>
      </c>
      <c r="F262" s="446"/>
      <c r="G262" s="446"/>
      <c r="H262" s="446"/>
      <c r="I262" s="232">
        <v>12</v>
      </c>
      <c r="J262" s="48" t="s">
        <v>47</v>
      </c>
    </row>
    <row r="263" spans="2:10" ht="38.25" x14ac:dyDescent="0.25">
      <c r="B263" s="21" t="str">
        <f>'PLANILHA ORÇAMENTÁRIA'!B263</f>
        <v>13.37</v>
      </c>
      <c r="C263" s="153">
        <f>'PLANILHA ORÇAMENTÁRIA'!C263</f>
        <v>91871</v>
      </c>
      <c r="D263" s="24" t="str">
        <f>'PLANILHA ORÇAMENTÁRIA'!D263</f>
        <v>ELETRODUTO RÍGIDO ROSCÁVEL, PVC, DN 25 MM (3/4"), PARA CIRCUITOS TERMINAIS, INSTALADO EM PAREDE - FORNECIMENTO E INSTALAÇÃO. AF_12/2015</v>
      </c>
      <c r="E263" s="446" t="s">
        <v>1423</v>
      </c>
      <c r="F263" s="446"/>
      <c r="G263" s="446"/>
      <c r="H263" s="446"/>
      <c r="I263" s="232">
        <v>15</v>
      </c>
      <c r="J263" s="48" t="s">
        <v>248</v>
      </c>
    </row>
    <row r="264" spans="2:10" ht="25.5" x14ac:dyDescent="0.25">
      <c r="B264" s="21" t="str">
        <f>'PLANILHA ORÇAMENTÁRIA'!B264</f>
        <v>13.38</v>
      </c>
      <c r="C264" s="153" t="str">
        <f>'PLANILHA ORÇAMENTÁRIA'!C264</f>
        <v>PMA ELE 023</v>
      </c>
      <c r="D264" s="24" t="str">
        <f>'PLANILHA ORÇAMENTÁRIA'!D264</f>
        <v>CAIXA PARA EQUALIZAÇÃO EM CHAPA METÁLICA 40x40MM DE EMBUTIR - FORNECIMENTO E INSTALAÇÃO</v>
      </c>
      <c r="E264" s="446" t="s">
        <v>1423</v>
      </c>
      <c r="F264" s="446"/>
      <c r="G264" s="446"/>
      <c r="H264" s="446"/>
      <c r="I264" s="232">
        <v>1</v>
      </c>
      <c r="J264" s="48" t="s">
        <v>47</v>
      </c>
    </row>
    <row r="265" spans="2:10" ht="25.5" x14ac:dyDescent="0.25">
      <c r="B265" s="21" t="str">
        <f>'PLANILHA ORÇAMENTÁRIA'!B265</f>
        <v>13.39</v>
      </c>
      <c r="C265" s="153">
        <f>'PLANILHA ORÇAMENTÁRIA'!C265</f>
        <v>96985</v>
      </c>
      <c r="D265" s="24" t="str">
        <f>'PLANILHA ORÇAMENTÁRIA'!D265</f>
        <v>HASTE DE ATERRAMENTO 5/8 PARA SPDA - FORNECIMENTO E INSTALAÇÃO. AF_12/2017</v>
      </c>
      <c r="E265" s="446" t="s">
        <v>1423</v>
      </c>
      <c r="F265" s="446"/>
      <c r="G265" s="446"/>
      <c r="H265" s="446"/>
      <c r="I265" s="232">
        <v>12</v>
      </c>
      <c r="J265" s="48" t="s">
        <v>47</v>
      </c>
    </row>
    <row r="266" spans="2:10" ht="25.5" x14ac:dyDescent="0.25">
      <c r="B266" s="21" t="str">
        <f>'PLANILHA ORÇAMENTÁRIA'!B266</f>
        <v>13.40</v>
      </c>
      <c r="C266" s="153">
        <f>'PLANILHA ORÇAMENTÁRIA'!C266</f>
        <v>98111</v>
      </c>
      <c r="D266" s="24" t="str">
        <f>'PLANILHA ORÇAMENTÁRIA'!D266</f>
        <v>CAIXA DE INSPEÇÃO PARA ATERRAMENTO, CIRCULAR, EM POLIETILENO, DIÂMETRO INTERNO = 0,3 M. AF_12/2020</v>
      </c>
      <c r="E266" s="446" t="s">
        <v>1423</v>
      </c>
      <c r="F266" s="446"/>
      <c r="G266" s="446"/>
      <c r="H266" s="446"/>
      <c r="I266" s="232">
        <v>12</v>
      </c>
      <c r="J266" s="48" t="s">
        <v>47</v>
      </c>
    </row>
    <row r="267" spans="2:10" ht="25.5" x14ac:dyDescent="0.25">
      <c r="B267" s="21" t="str">
        <f>'PLANILHA ORÇAMENTÁRIA'!B267</f>
        <v>13.41</v>
      </c>
      <c r="C267" s="153" t="str">
        <f>'PLANILHA ORÇAMENTÁRIA'!C267</f>
        <v>PMA ELE 024</v>
      </c>
      <c r="D267" s="24" t="str">
        <f>'PLANILHA ORÇAMENTÁRIA'!D267</f>
        <v>TERMINAL DE COMPRESSÃO - #25,0MM² - FORNECIMENTO E INSTALAÇÃO</v>
      </c>
      <c r="E267" s="446" t="s">
        <v>1423</v>
      </c>
      <c r="F267" s="446"/>
      <c r="G267" s="446"/>
      <c r="H267" s="446"/>
      <c r="I267" s="232">
        <v>8</v>
      </c>
      <c r="J267" s="48" t="s">
        <v>47</v>
      </c>
    </row>
    <row r="268" spans="2:10" ht="25.5" x14ac:dyDescent="0.25">
      <c r="B268" s="21" t="str">
        <f>'PLANILHA ORÇAMENTÁRIA'!B268</f>
        <v>13.42</v>
      </c>
      <c r="C268" s="153" t="str">
        <f>'PLANILHA ORÇAMENTÁRIA'!C268</f>
        <v>PMA ELE 025</v>
      </c>
      <c r="D268" s="24" t="str">
        <f>'PLANILHA ORÇAMENTÁRIA'!D268</f>
        <v>TERMINAL DE COMPRESSÃO - #35,0MM² - FORNECIMENTO E INSTALAÇÃO</v>
      </c>
      <c r="E268" s="446" t="s">
        <v>1423</v>
      </c>
      <c r="F268" s="446"/>
      <c r="G268" s="446"/>
      <c r="H268" s="446"/>
      <c r="I268" s="232">
        <v>8</v>
      </c>
      <c r="J268" s="48" t="s">
        <v>47</v>
      </c>
    </row>
    <row r="269" spans="2:10" ht="25.5" x14ac:dyDescent="0.25">
      <c r="B269" s="21" t="str">
        <f>'PLANILHA ORÇAMENTÁRIA'!B269</f>
        <v>13.43</v>
      </c>
      <c r="C269" s="153" t="str">
        <f>'PLANILHA ORÇAMENTÁRIA'!C269</f>
        <v>PMA ELE 026</v>
      </c>
      <c r="D269" s="24" t="str">
        <f>'PLANILHA ORÇAMENTÁRIA'!D269</f>
        <v>TERMINAL DE COMPRESSÃO - #70,0MM² - FORNECIMENTO E INSTALAÇÃO</v>
      </c>
      <c r="E269" s="446" t="s">
        <v>1423</v>
      </c>
      <c r="F269" s="446"/>
      <c r="G269" s="446"/>
      <c r="H269" s="446"/>
      <c r="I269" s="232">
        <v>2</v>
      </c>
      <c r="J269" s="48" t="s">
        <v>47</v>
      </c>
    </row>
    <row r="270" spans="2:10" ht="25.5" x14ac:dyDescent="0.25">
      <c r="B270" s="21" t="str">
        <f>'PLANILHA ORÇAMENTÁRIA'!B270</f>
        <v>13.44</v>
      </c>
      <c r="C270" s="153" t="str">
        <f>'PLANILHA ORÇAMENTÁRIA'!C270</f>
        <v>PMA ELE 027</v>
      </c>
      <c r="D270" s="24" t="str">
        <f>'PLANILHA ORÇAMENTÁRIA'!D270</f>
        <v>TERMINAL DE COMPRESSÃO - #120,0MM² - FORNECIMENTO E INSTALAÇÃO</v>
      </c>
      <c r="E270" s="446" t="s">
        <v>1423</v>
      </c>
      <c r="F270" s="446"/>
      <c r="G270" s="446"/>
      <c r="H270" s="446"/>
      <c r="I270" s="232">
        <v>8</v>
      </c>
      <c r="J270" s="48" t="s">
        <v>47</v>
      </c>
    </row>
    <row r="271" spans="2:10" ht="25.5" x14ac:dyDescent="0.25">
      <c r="B271" s="21" t="str">
        <f>'PLANILHA ORÇAMENTÁRIA'!B271</f>
        <v>13.45</v>
      </c>
      <c r="C271" s="153" t="str">
        <f>'PLANILHA ORÇAMENTÁRIA'!C271</f>
        <v>PMA ELE 028</v>
      </c>
      <c r="D271" s="24" t="str">
        <f>'PLANILHA ORÇAMENTÁRIA'!D271</f>
        <v>CABO "PP" 3 X 2,5 MM² NÃO PROPAGANTES DE CHAMA, LIVRES DE HALOGENIO - FORNECIMENTO E INSTALAÇÃO</v>
      </c>
      <c r="E271" s="446" t="s">
        <v>1423</v>
      </c>
      <c r="F271" s="446"/>
      <c r="G271" s="446"/>
      <c r="H271" s="446"/>
      <c r="I271" s="48">
        <v>20</v>
      </c>
      <c r="J271" s="48" t="s">
        <v>248</v>
      </c>
    </row>
    <row r="272" spans="2:10" ht="38.25" x14ac:dyDescent="0.25">
      <c r="B272" s="21" t="str">
        <f>'PLANILHA ORÇAMENTÁRIA'!B272</f>
        <v>13.46</v>
      </c>
      <c r="C272" s="153">
        <f>'PLANILHA ORÇAMENTÁRIA'!C272</f>
        <v>91926</v>
      </c>
      <c r="D272" s="24" t="str">
        <f>'PLANILHA ORÇAMENTÁRIA'!D272</f>
        <v>CABO DE COBRE FLEXÍVEL ISOLADO, 2,5 MM², ANTI-CHAMA 450/750 V, PARA CIRCUITOS TERMINAIS - FORNECIMENTO E INSTALAÇÃO. AF_12/2015 - PRETO</v>
      </c>
      <c r="E272" s="446" t="s">
        <v>1423</v>
      </c>
      <c r="F272" s="446"/>
      <c r="G272" s="446"/>
      <c r="H272" s="446"/>
      <c r="I272" s="48">
        <v>250</v>
      </c>
      <c r="J272" s="48" t="s">
        <v>248</v>
      </c>
    </row>
    <row r="273" spans="2:10" ht="38.25" x14ac:dyDescent="0.25">
      <c r="B273" s="21" t="str">
        <f>'PLANILHA ORÇAMENTÁRIA'!B273</f>
        <v>13.47</v>
      </c>
      <c r="C273" s="153">
        <f>'PLANILHA ORÇAMENTÁRIA'!C273</f>
        <v>91926</v>
      </c>
      <c r="D273" s="24" t="str">
        <f>'PLANILHA ORÇAMENTÁRIA'!D273</f>
        <v>CABO DE COBRE FLEXÍVEL ISOLADO, 2,5 MM², ANTI-CHAMA 450/750 V, PARA CIRCUITOS TERMINAIS - FORNECIMENTO E INSTALAÇÃO. AF_12/2015 - VERMELHO</v>
      </c>
      <c r="E273" s="446" t="s">
        <v>1423</v>
      </c>
      <c r="F273" s="446"/>
      <c r="G273" s="446"/>
      <c r="H273" s="446"/>
      <c r="I273" s="48">
        <v>1800</v>
      </c>
      <c r="J273" s="48" t="s">
        <v>248</v>
      </c>
    </row>
    <row r="274" spans="2:10" ht="38.25" x14ac:dyDescent="0.25">
      <c r="B274" s="21" t="str">
        <f>'PLANILHA ORÇAMENTÁRIA'!B274</f>
        <v>13.48</v>
      </c>
      <c r="C274" s="153">
        <f>'PLANILHA ORÇAMENTÁRIA'!C274</f>
        <v>91926</v>
      </c>
      <c r="D274" s="24" t="str">
        <f>'PLANILHA ORÇAMENTÁRIA'!D274</f>
        <v>CABO DE COBRE FLEXÍVEL ISOLADO, 2,5 MM², ANTI-CHAMA 450/750 V, PARA CIRCUITOS TERMINAIS - FORNECIMENTO E INSTALAÇÃO. AF_12/2015 - AZUL CLARO</v>
      </c>
      <c r="E274" s="446" t="s">
        <v>1423</v>
      </c>
      <c r="F274" s="446"/>
      <c r="G274" s="446"/>
      <c r="H274" s="446"/>
      <c r="I274" s="48">
        <v>1000</v>
      </c>
      <c r="J274" s="48" t="s">
        <v>248</v>
      </c>
    </row>
    <row r="275" spans="2:10" ht="26.45" customHeight="1" x14ac:dyDescent="0.25">
      <c r="B275" s="21" t="str">
        <f>'PLANILHA ORÇAMENTÁRIA'!B275</f>
        <v>13.49</v>
      </c>
      <c r="C275" s="153">
        <f>'PLANILHA ORÇAMENTÁRIA'!C275</f>
        <v>91926</v>
      </c>
      <c r="D275" s="24" t="str">
        <f>'PLANILHA ORÇAMENTÁRIA'!D275</f>
        <v>CABO DE COBRE FLEXÍVEL ISOLADO, 2,5 MM², ANTI-CHAMA 450/750 V, PARA CIRCUITOS TERMINAIS - FORNECIMENTO E INSTALAÇÃO. AF_12/2015 - VERDE</v>
      </c>
      <c r="E275" s="446" t="s">
        <v>1423</v>
      </c>
      <c r="F275" s="446"/>
      <c r="G275" s="446"/>
      <c r="H275" s="446"/>
      <c r="I275" s="48">
        <v>400</v>
      </c>
      <c r="J275" s="48" t="s">
        <v>248</v>
      </c>
    </row>
    <row r="276" spans="2:10" ht="38.25" x14ac:dyDescent="0.25">
      <c r="B276" s="21" t="str">
        <f>'PLANILHA ORÇAMENTÁRIA'!B276</f>
        <v>13.50</v>
      </c>
      <c r="C276" s="153">
        <f>'PLANILHA ORÇAMENTÁRIA'!C276</f>
        <v>91926</v>
      </c>
      <c r="D276" s="24" t="str">
        <f>'PLANILHA ORÇAMENTÁRIA'!D276</f>
        <v>CABO DE COBRE FLEXÍVEL ISOLADO, 2,5 MM², ANTI-CHAMA 450/750 V, PARA CIRCUITOS TERMINAIS - FORNECIMENTO E INSTALAÇÃO. AF_12/2015 - AMARELO/CINZA</v>
      </c>
      <c r="E276" s="446" t="s">
        <v>1423</v>
      </c>
      <c r="F276" s="446"/>
      <c r="G276" s="446"/>
      <c r="H276" s="446"/>
      <c r="I276" s="48">
        <v>1000</v>
      </c>
      <c r="J276" s="48" t="s">
        <v>248</v>
      </c>
    </row>
    <row r="277" spans="2:10" ht="38.25" x14ac:dyDescent="0.25">
      <c r="B277" s="21" t="str">
        <f>'PLANILHA ORÇAMENTÁRIA'!B277</f>
        <v>13.51</v>
      </c>
      <c r="C277" s="153">
        <f>'PLANILHA ORÇAMENTÁRIA'!C277</f>
        <v>91928</v>
      </c>
      <c r="D277" s="24" t="str">
        <f>'PLANILHA ORÇAMENTÁRIA'!D277</f>
        <v>CABO DE COBRE FLEXÍVEL ISOLADO, 4,0 MM², ANTI-CHAMA 450/750 V, PARA CIRCUITOS TERMINAIS - FORNECIMENTO E INSTALAÇÃO. AF_12/2015 -  BRANCO</v>
      </c>
      <c r="E277" s="446" t="s">
        <v>1423</v>
      </c>
      <c r="F277" s="446"/>
      <c r="G277" s="446"/>
      <c r="H277" s="446"/>
      <c r="I277" s="48">
        <v>200</v>
      </c>
      <c r="J277" s="48" t="s">
        <v>248</v>
      </c>
    </row>
    <row r="278" spans="2:10" ht="38.25" x14ac:dyDescent="0.25">
      <c r="B278" s="21" t="str">
        <f>'PLANILHA ORÇAMENTÁRIA'!B278</f>
        <v>13.52</v>
      </c>
      <c r="C278" s="153">
        <f>'PLANILHA ORÇAMENTÁRIA'!C278</f>
        <v>91928</v>
      </c>
      <c r="D278" s="24" t="str">
        <f>'PLANILHA ORÇAMENTÁRIA'!D278</f>
        <v>CABO DE COBRE FLEXÍVEL ISOLADO, 4,0 MM², ANTI-CHAMA 450/750 V, PARA CIRCUITOS TERMINAIS - FORNECIMENTO E INSTALAÇÃO. AF_12/2015 - VERMELHO</v>
      </c>
      <c r="E278" s="446" t="s">
        <v>1423</v>
      </c>
      <c r="F278" s="446"/>
      <c r="G278" s="446"/>
      <c r="H278" s="446"/>
      <c r="I278" s="48">
        <v>1500</v>
      </c>
      <c r="J278" s="48" t="s">
        <v>248</v>
      </c>
    </row>
    <row r="279" spans="2:10" ht="38.25" x14ac:dyDescent="0.25">
      <c r="B279" s="21" t="str">
        <f>'PLANILHA ORÇAMENTÁRIA'!B279</f>
        <v>13.53</v>
      </c>
      <c r="C279" s="153">
        <f>'PLANILHA ORÇAMENTÁRIA'!C279</f>
        <v>91928</v>
      </c>
      <c r="D279" s="24" t="str">
        <f>'PLANILHA ORÇAMENTÁRIA'!D279</f>
        <v>CABO DE COBRE FLEXÍVEL ISOLADO, 4,0 MM², ANTI-CHAMA 450/750 V, PARA CIRCUITOS TERMINAIS - FORNECIMENTO E INSTALAÇÃO. AF_12/2015 - PRETO</v>
      </c>
      <c r="E279" s="446" t="s">
        <v>1423</v>
      </c>
      <c r="F279" s="446"/>
      <c r="G279" s="446"/>
      <c r="H279" s="446"/>
      <c r="I279" s="48">
        <v>2000</v>
      </c>
      <c r="J279" s="48" t="s">
        <v>248</v>
      </c>
    </row>
    <row r="280" spans="2:10" ht="38.25" x14ac:dyDescent="0.25">
      <c r="B280" s="21" t="str">
        <f>'PLANILHA ORÇAMENTÁRIA'!B280</f>
        <v>13.54</v>
      </c>
      <c r="C280" s="153">
        <f>'PLANILHA ORÇAMENTÁRIA'!C280</f>
        <v>91928</v>
      </c>
      <c r="D280" s="24" t="str">
        <f>'PLANILHA ORÇAMENTÁRIA'!D280</f>
        <v>CABO DE COBRE FLEXÍVEL ISOLADO, 4,0 MM², ANTI-CHAMA 450/750 V, PARA CIRCUITOS TERMINAIS - FORNECIMENTO E INSTALAÇÃO. AF_12/2015 - AZUL</v>
      </c>
      <c r="E280" s="446" t="s">
        <v>1423</v>
      </c>
      <c r="F280" s="446"/>
      <c r="G280" s="446"/>
      <c r="H280" s="446"/>
      <c r="I280" s="48">
        <v>1700</v>
      </c>
      <c r="J280" s="48" t="s">
        <v>248</v>
      </c>
    </row>
    <row r="281" spans="2:10" ht="38.25" x14ac:dyDescent="0.25">
      <c r="B281" s="21" t="str">
        <f>'PLANILHA ORÇAMENTÁRIA'!B281</f>
        <v>13.55</v>
      </c>
      <c r="C281" s="153">
        <f>'PLANILHA ORÇAMENTÁRIA'!C281</f>
        <v>91928</v>
      </c>
      <c r="D281" s="24" t="str">
        <f>'PLANILHA ORÇAMENTÁRIA'!D281</f>
        <v>CABO DE COBRE FLEXÍVEL ISOLADO, 4,0 MM², ANTI-CHAMA 450/750 V, PARA CIRCUITOS TERMINAIS - FORNECIMENTO E INSTALAÇÃO. AF_12/2015 - VERDE</v>
      </c>
      <c r="E281" s="446" t="s">
        <v>1423</v>
      </c>
      <c r="F281" s="446"/>
      <c r="G281" s="446"/>
      <c r="H281" s="446"/>
      <c r="I281" s="48">
        <v>800</v>
      </c>
      <c r="J281" s="48" t="s">
        <v>248</v>
      </c>
    </row>
    <row r="282" spans="2:10" ht="38.25" x14ac:dyDescent="0.25">
      <c r="B282" s="21" t="str">
        <f>'PLANILHA ORÇAMENTÁRIA'!B282</f>
        <v>13.56</v>
      </c>
      <c r="C282" s="153">
        <f>'PLANILHA ORÇAMENTÁRIA'!C282</f>
        <v>91930</v>
      </c>
      <c r="D282" s="24" t="str">
        <f>'PLANILHA ORÇAMENTÁRIA'!D282</f>
        <v>CABO DE COBRE FLEXÍVEL ISOLADO, 6,0 MM², ANTI-CHAMA 450/750 V, PARA CIRCUITOS TERMINAIS - FORNECIMENTO E INSTALAÇÃO. AF_12/2015 - PRETO</v>
      </c>
      <c r="E282" s="446" t="s">
        <v>1423</v>
      </c>
      <c r="F282" s="446"/>
      <c r="G282" s="446"/>
      <c r="H282" s="446"/>
      <c r="I282" s="48">
        <v>500</v>
      </c>
      <c r="J282" s="48" t="s">
        <v>248</v>
      </c>
    </row>
    <row r="283" spans="2:10" ht="25.5" x14ac:dyDescent="0.25">
      <c r="B283" s="21" t="str">
        <f>'PLANILHA ORÇAMENTÁRIA'!B283</f>
        <v>13.57</v>
      </c>
      <c r="C283" s="153" t="str">
        <f>'PLANILHA ORÇAMENTÁRIA'!C283</f>
        <v>PMA ELE 029</v>
      </c>
      <c r="D283" s="24" t="str">
        <f>'PLANILHA ORÇAMENTÁRIA'!D283</f>
        <v xml:space="preserve">CABO DE COBRE NU 50 MM2 MEIO-DURO - FORNECIMENTO E INSTALAÇÃO. </v>
      </c>
      <c r="E283" s="446" t="s">
        <v>1423</v>
      </c>
      <c r="F283" s="446"/>
      <c r="G283" s="446"/>
      <c r="H283" s="446"/>
      <c r="I283" s="48">
        <v>115</v>
      </c>
      <c r="J283" s="48" t="s">
        <v>248</v>
      </c>
    </row>
    <row r="284" spans="2:10" ht="38.25" x14ac:dyDescent="0.25">
      <c r="B284" s="21" t="str">
        <f>'PLANILHA ORÇAMENTÁRIA'!B284</f>
        <v>13.58</v>
      </c>
      <c r="C284" s="153">
        <f>'PLANILHA ORÇAMENTÁRIA'!C284</f>
        <v>91933</v>
      </c>
      <c r="D284" s="24" t="str">
        <f>'PLANILHA ORÇAMENTÁRIA'!D284</f>
        <v>CABO DE COBRE FLEXÍVEL ISOLADO, 10 MM², ANTI-CHAMA 0,6/1,0 KV, PARA CIRCUITOS TERMINAIS - FORNECIMENTO E INSTALAÇÃO. AF_12/2015</v>
      </c>
      <c r="E284" s="446" t="s">
        <v>1423</v>
      </c>
      <c r="F284" s="446"/>
      <c r="G284" s="446"/>
      <c r="H284" s="446"/>
      <c r="I284" s="48">
        <v>225</v>
      </c>
      <c r="J284" s="48" t="s">
        <v>248</v>
      </c>
    </row>
    <row r="285" spans="2:10" ht="38.25" x14ac:dyDescent="0.25">
      <c r="B285" s="21" t="str">
        <f>'PLANILHA ORÇAMENTÁRIA'!B285</f>
        <v>13.59</v>
      </c>
      <c r="C285" s="153">
        <f>'PLANILHA ORÇAMENTÁRIA'!C285</f>
        <v>91935</v>
      </c>
      <c r="D285" s="24" t="str">
        <f>'PLANILHA ORÇAMENTÁRIA'!D285</f>
        <v>CABO DE COBRE FLEXÍVEL ISOLADO, 16 MM², ANTI-CHAMA 0,6/1,0 KV, PARA CIRCUITOS TERMINAIS - FORNECIMENTO E INSTALAÇÃO. AF_12/2015</v>
      </c>
      <c r="E285" s="446" t="s">
        <v>1423</v>
      </c>
      <c r="F285" s="446"/>
      <c r="G285" s="446"/>
      <c r="H285" s="446"/>
      <c r="I285" s="48">
        <v>20</v>
      </c>
      <c r="J285" s="48" t="s">
        <v>248</v>
      </c>
    </row>
    <row r="286" spans="2:10" ht="38.25" x14ac:dyDescent="0.25">
      <c r="B286" s="21" t="str">
        <f>'PLANILHA ORÇAMENTÁRIA'!B286</f>
        <v>13.60</v>
      </c>
      <c r="C286" s="153">
        <f>'PLANILHA ORÇAMENTÁRIA'!C286</f>
        <v>92984</v>
      </c>
      <c r="D286" s="24" t="str">
        <f>'PLANILHA ORÇAMENTÁRIA'!D286</f>
        <v>CABO DE COBRE FLEXÍVEL ISOLADO, 25 MM², ANTI-CHAMA 0,6/1,0 KV, PARA CIRCUITOS TERMINAIS - FORNECIMENTO E INSTALAÇÃO. AF_12/2015</v>
      </c>
      <c r="E286" s="446" t="s">
        <v>1423</v>
      </c>
      <c r="F286" s="446"/>
      <c r="G286" s="446"/>
      <c r="H286" s="446"/>
      <c r="I286" s="48">
        <v>20</v>
      </c>
      <c r="J286" s="48" t="s">
        <v>248</v>
      </c>
    </row>
    <row r="287" spans="2:10" ht="38.25" x14ac:dyDescent="0.25">
      <c r="B287" s="21" t="str">
        <f>'PLANILHA ORÇAMENTÁRIA'!B287</f>
        <v>13.61</v>
      </c>
      <c r="C287" s="153">
        <f>'PLANILHA ORÇAMENTÁRIA'!C287</f>
        <v>92986</v>
      </c>
      <c r="D287" s="24" t="str">
        <f>'PLANILHA ORÇAMENTÁRIA'!D287</f>
        <v>CABO DE COBRE FLEXÍVEL ISOLADO, 35 MM², ANTI-CHAMA 0,6/1,0 KV, PARA CIRCUITOS TERMINAIS - FORNECIMENTO E INSTALAÇÃO. AF_12/2015</v>
      </c>
      <c r="E287" s="446" t="s">
        <v>1423</v>
      </c>
      <c r="F287" s="446"/>
      <c r="G287" s="446"/>
      <c r="H287" s="446"/>
      <c r="I287" s="48">
        <v>80</v>
      </c>
      <c r="J287" s="48" t="s">
        <v>248</v>
      </c>
    </row>
    <row r="288" spans="2:10" ht="38.25" x14ac:dyDescent="0.25">
      <c r="B288" s="21" t="str">
        <f>'PLANILHA ORÇAMENTÁRIA'!B288</f>
        <v>13.62</v>
      </c>
      <c r="C288" s="153">
        <f>'PLANILHA ORÇAMENTÁRIA'!C288</f>
        <v>92988</v>
      </c>
      <c r="D288" s="24" t="str">
        <f>'PLANILHA ORÇAMENTÁRIA'!D288</f>
        <v>CABO DE COBRE FLEXÍVEL ISOLADO, 50 MM², ANTI-CHAMA 0,6/1,0 KV, PARA CIRCUITOS TERMINAIS - FORNECIMENTO E INSTALAÇÃO. AF_12/2015</v>
      </c>
      <c r="E288" s="446" t="s">
        <v>1423</v>
      </c>
      <c r="F288" s="446"/>
      <c r="G288" s="446"/>
      <c r="H288" s="446"/>
      <c r="I288" s="48">
        <v>60</v>
      </c>
      <c r="J288" s="48" t="s">
        <v>248</v>
      </c>
    </row>
    <row r="289" spans="2:10" ht="38.25" x14ac:dyDescent="0.25">
      <c r="B289" s="21" t="str">
        <f>'PLANILHA ORÇAMENTÁRIA'!B289</f>
        <v>13.63</v>
      </c>
      <c r="C289" s="153">
        <f>'PLANILHA ORÇAMENTÁRIA'!C289</f>
        <v>92990</v>
      </c>
      <c r="D289" s="24" t="str">
        <f>'PLANILHA ORÇAMENTÁRIA'!D289</f>
        <v>CABO DE COBRE FLEXÍVEL ISOLADO, 70 MM², ANTI-CHAMA 0,6/1,0 KV, PARA CIRCUITOS TERMINAIS - FORNECIMENTO E INSTALAÇÃO. AF_12/2015</v>
      </c>
      <c r="E289" s="446" t="s">
        <v>1423</v>
      </c>
      <c r="F289" s="446"/>
      <c r="G289" s="446"/>
      <c r="H289" s="446"/>
      <c r="I289" s="48">
        <v>30</v>
      </c>
      <c r="J289" s="48" t="s">
        <v>248</v>
      </c>
    </row>
    <row r="290" spans="2:10" ht="38.25" x14ac:dyDescent="0.25">
      <c r="B290" s="21" t="str">
        <f>'PLANILHA ORÇAMENTÁRIA'!B290</f>
        <v>13.64</v>
      </c>
      <c r="C290" s="153">
        <f>'PLANILHA ORÇAMENTÁRIA'!C290</f>
        <v>92992</v>
      </c>
      <c r="D290" s="24" t="str">
        <f>'PLANILHA ORÇAMENTÁRIA'!D290</f>
        <v>CABO DE COBRE FLEXÍVEL ISOLADO, 95 MM², ANTI-CHAMA 0,6/1,0 KV, PARA CIRCUITOS TERMINAIS - FORNECIMENTO E INSTALAÇÃO. AF_12/2015</v>
      </c>
      <c r="E290" s="446" t="s">
        <v>1423</v>
      </c>
      <c r="F290" s="446"/>
      <c r="G290" s="446"/>
      <c r="H290" s="446"/>
      <c r="I290" s="48">
        <v>120</v>
      </c>
      <c r="J290" s="48" t="s">
        <v>248</v>
      </c>
    </row>
    <row r="291" spans="2:10" ht="38.25" x14ac:dyDescent="0.25">
      <c r="B291" s="21" t="str">
        <f>'PLANILHA ORÇAMENTÁRIA'!B291</f>
        <v>13.65</v>
      </c>
      <c r="C291" s="153">
        <f>'PLANILHA ORÇAMENTÁRIA'!C291</f>
        <v>92994</v>
      </c>
      <c r="D291" s="24" t="str">
        <f>'PLANILHA ORÇAMENTÁRIA'!D291</f>
        <v>CABO DE COBRE FLEXÍVEL ISOLADO, 120 MM², ANTI-CHAMA 0,6/1,0 KV, PARA CIRCUITOS TERMINAIS - FORNECIMENTO E INSTALAÇÃO. AF_12/2015</v>
      </c>
      <c r="E291" s="446" t="s">
        <v>1423</v>
      </c>
      <c r="F291" s="446"/>
      <c r="G291" s="446"/>
      <c r="H291" s="446"/>
      <c r="I291" s="48">
        <v>120</v>
      </c>
      <c r="J291" s="48" t="s">
        <v>248</v>
      </c>
    </row>
    <row r="292" spans="2:10" ht="127.5" x14ac:dyDescent="0.25">
      <c r="B292" s="21" t="str">
        <f>'PLANILHA ORÇAMENTÁRIA'!B292</f>
        <v>13.66</v>
      </c>
      <c r="C292" s="153" t="str">
        <f>'PLANILHA ORÇAMENTÁRIA'!C292</f>
        <v>PMA ELE 030</v>
      </c>
      <c r="D292" s="24" t="str">
        <f>'PLANILHA ORÇAMENTÁRIA'!D292</f>
        <v>SIRENE AUDIOVISUAL DE EMERGÊNCIA E ALARME DE SANITÁRIO PNE COM FIO COM LED DE ALTO BRILHO (10MM) EM EM TUBO DE XENON, FREQUENCIA DE 150 FLASHES POR MINUTO, SINALIZAÇÃO "EMERGÊNCIA" ESCRITO EM VERMELHO DE SINALZIAÇÃO DE "PNE", ALERTA ESTROBOSCÓPICO, 40 LUMENS, 90DB A 1 METRO DA FONTE, 110 METROS EM ÁREAS SILENCIOSAS, TOQUE OSCILANTE, CAIXA EM PLÁSTICO ABS, NA COR BRANCA, IP32, 127/220V BIVOLT 0,35A ALIEMNTAÇÃO ATRAVES DE DOIS FIOS PARA LIGAÇÃO AO COMANDO – FORNECIMENTO E INSTALAÇÃO.</v>
      </c>
      <c r="E292" s="446" t="s">
        <v>1423</v>
      </c>
      <c r="F292" s="446"/>
      <c r="G292" s="446"/>
      <c r="H292" s="446"/>
      <c r="I292" s="48">
        <v>6</v>
      </c>
      <c r="J292" s="48" t="s">
        <v>309</v>
      </c>
    </row>
    <row r="293" spans="2:10" ht="63.75" x14ac:dyDescent="0.25">
      <c r="B293" s="21" t="str">
        <f>'PLANILHA ORÇAMENTÁRIA'!B293</f>
        <v>13.67</v>
      </c>
      <c r="C293" s="153" t="str">
        <f>'PLANILHA ORÇAMENTÁRIA'!C293</f>
        <v>PMA ELE 031</v>
      </c>
      <c r="D293" s="24" t="str">
        <f>'PLANILHA ORÇAMENTÁRIA'!D293</f>
        <v>BOTOEIRA / ACIONADOR MANUAL PNE, INTERRUPTOR DE TRAVAMENTO TIPO SOCO, EM PLÁSTICO ABS, NA COR AMARELA COM CONTATO NA/NF ATÉ 6A 127V TEMPERATURA DE OPERAÇÃO -10°C A 60°C CONFORME ABNT NBR9050 – FORNECIMENTO E INSTALAÇÃO.</v>
      </c>
      <c r="E293" s="446" t="s">
        <v>1423</v>
      </c>
      <c r="F293" s="446"/>
      <c r="G293" s="446"/>
      <c r="H293" s="446"/>
      <c r="I293" s="48">
        <v>6</v>
      </c>
      <c r="J293" s="48" t="s">
        <v>309</v>
      </c>
    </row>
    <row r="294" spans="2:10" ht="38.25" x14ac:dyDescent="0.25">
      <c r="B294" s="21" t="str">
        <f>'PLANILHA ORÇAMENTÁRIA'!B294</f>
        <v>13.68</v>
      </c>
      <c r="C294" s="153">
        <f>'PLANILHA ORÇAMENTÁRIA'!C294</f>
        <v>97599</v>
      </c>
      <c r="D294" s="24" t="str">
        <f>'PLANILHA ORÇAMENTÁRIA'!D294</f>
        <v>LUMINÁRIA DE EMERGÊNCIA, COM 30 LÂMPADAS LED DE 2 W, SEM REATOR - FORNECIMENTO E INSTALAÇÃO. AF_02/2020</v>
      </c>
      <c r="E294" s="446" t="s">
        <v>1423</v>
      </c>
      <c r="F294" s="446"/>
      <c r="G294" s="446"/>
      <c r="H294" s="446"/>
      <c r="I294" s="48">
        <v>14</v>
      </c>
      <c r="J294" s="48" t="s">
        <v>309</v>
      </c>
    </row>
    <row r="295" spans="2:10" ht="51" x14ac:dyDescent="0.25">
      <c r="B295" s="21" t="str">
        <f>'PLANILHA ORÇAMENTÁRIA'!B295</f>
        <v>13.69</v>
      </c>
      <c r="C295" s="153" t="str">
        <f>'PLANILHA ORÇAMENTÁRIA'!C295</f>
        <v>PMA ELE 032</v>
      </c>
      <c r="D295" s="24" t="str">
        <f>'PLANILHA ORÇAMENTÁRIA'!D295</f>
        <v>QDG-N (ENTRADA) - QUADRO DE DISTRIBUICAO COM BARRAMENTO TRIFASICO, DE EMBUTIR, EM CHAPA DE ACO GALVANIZADO, PARA 30 DISJUNTORES DIN, 225 A - FORNECIMENTO E INSTALAÇÃO.</v>
      </c>
      <c r="E295" s="446" t="s">
        <v>1423</v>
      </c>
      <c r="F295" s="446"/>
      <c r="G295" s="446"/>
      <c r="H295" s="446"/>
      <c r="I295" s="48">
        <v>1</v>
      </c>
      <c r="J295" s="48" t="s">
        <v>309</v>
      </c>
    </row>
    <row r="296" spans="2:10" ht="38.25" x14ac:dyDescent="0.25">
      <c r="B296" s="21" t="str">
        <f>'PLANILHA ORÇAMENTÁRIA'!B296</f>
        <v>13.70</v>
      </c>
      <c r="C296" s="153">
        <f>'PLANILHA ORÇAMENTÁRIA'!C296</f>
        <v>101896</v>
      </c>
      <c r="D296" s="24" t="str">
        <f>'PLANILHA ORÇAMENTÁRIA'!D296</f>
        <v>DISJUNTOR TERMOMAGNÉTICO TRIPOLAR , CORRENTE NOMINAL DE 200A - FORNECIMENTO E INSTALAÇÃO. AF_10/2020 (QDG-B)</v>
      </c>
      <c r="E296" s="446" t="s">
        <v>1423</v>
      </c>
      <c r="F296" s="446"/>
      <c r="G296" s="446"/>
      <c r="H296" s="446"/>
      <c r="I296" s="48">
        <v>1</v>
      </c>
      <c r="J296" s="48" t="s">
        <v>309</v>
      </c>
    </row>
    <row r="297" spans="2:10" ht="38.25" x14ac:dyDescent="0.25">
      <c r="B297" s="21" t="str">
        <f>'PLANILHA ORÇAMENTÁRIA'!B297</f>
        <v>13.71</v>
      </c>
      <c r="C297" s="153">
        <f>'PLANILHA ORÇAMENTÁRIA'!C297</f>
        <v>101895</v>
      </c>
      <c r="D297" s="24" t="str">
        <f>'PLANILHA ORÇAMENTÁRIA'!D297</f>
        <v>DISJUNTOR TERMOMAGNÉTICO TRIPOLAR , CORRENTE NOMINAL DE 125A - FORNECIMENTO E INSTALAÇÃO. AF_10/2020 (QLT-N-1)</v>
      </c>
      <c r="E297" s="446" t="s">
        <v>1423</v>
      </c>
      <c r="F297" s="446"/>
      <c r="G297" s="446"/>
      <c r="H297" s="446"/>
      <c r="I297" s="48">
        <v>1</v>
      </c>
      <c r="J297" s="48" t="s">
        <v>309</v>
      </c>
    </row>
    <row r="298" spans="2:10" ht="38.25" x14ac:dyDescent="0.25">
      <c r="B298" s="21" t="str">
        <f>'PLANILHA ORÇAMENTÁRIA'!B298</f>
        <v>13.72</v>
      </c>
      <c r="C298" s="153">
        <f>'PLANILHA ORÇAMENTÁRIA'!C298</f>
        <v>101895</v>
      </c>
      <c r="D298" s="24" t="str">
        <f>'PLANILHA ORÇAMENTÁRIA'!D298</f>
        <v>DISJUNTOR TERMOMAGNÉTICO TRIPOLAR , CORRENTE NOMINAL DE 100A - FORNECIMENTO E INSTALAÇÃO. AF_10/2020 (QF-N-AC)</v>
      </c>
      <c r="E298" s="446" t="s">
        <v>1423</v>
      </c>
      <c r="F298" s="446"/>
      <c r="G298" s="446"/>
      <c r="H298" s="446"/>
      <c r="I298" s="48">
        <v>1</v>
      </c>
      <c r="J298" s="48" t="s">
        <v>309</v>
      </c>
    </row>
    <row r="299" spans="2:10" ht="38.25" x14ac:dyDescent="0.25">
      <c r="B299" s="21" t="str">
        <f>'PLANILHA ORÇAMENTÁRIA'!B299</f>
        <v>13.73</v>
      </c>
      <c r="C299" s="153">
        <f>'PLANILHA ORÇAMENTÁRIA'!C299</f>
        <v>93672</v>
      </c>
      <c r="D299" s="24" t="str">
        <f>'PLANILHA ORÇAMENTÁRIA'!D299</f>
        <v>DISJUNTOR TRIPOLAR TIPO DIN, CORRENTE NOMINAL DE 40A - FORNECIMENTO E INSTALAÇÃO. AF_10/2020 (QLT-N-2; QLT-N-COPA; NO BREAK)</v>
      </c>
      <c r="E299" s="446" t="s">
        <v>1423</v>
      </c>
      <c r="F299" s="446"/>
      <c r="G299" s="446"/>
      <c r="H299" s="446"/>
      <c r="I299" s="48">
        <v>3</v>
      </c>
      <c r="J299" s="48" t="s">
        <v>309</v>
      </c>
    </row>
    <row r="300" spans="2:10" ht="38.25" x14ac:dyDescent="0.25">
      <c r="B300" s="21" t="str">
        <f>'PLANILHA ORÇAMENTÁRIA'!B300</f>
        <v>13.74</v>
      </c>
      <c r="C300" s="153">
        <f>'PLANILHA ORÇAMENTÁRIA'!C300</f>
        <v>93669</v>
      </c>
      <c r="D300" s="24" t="str">
        <f>'PLANILHA ORÇAMENTÁRIA'!D300</f>
        <v>DISJUNTOR TRIPOLAR TIPO DIN, CORRENTE NOMINAL DE 20A - FORNECIMENTO E INSTALAÇÃO. AF_10/2020 (AEX-USB-01)</v>
      </c>
      <c r="E300" s="446" t="s">
        <v>1423</v>
      </c>
      <c r="F300" s="446"/>
      <c r="G300" s="446"/>
      <c r="H300" s="446"/>
      <c r="I300" s="48">
        <v>1</v>
      </c>
      <c r="J300" s="48" t="s">
        <v>309</v>
      </c>
    </row>
    <row r="301" spans="2:10" ht="38.25" x14ac:dyDescent="0.25">
      <c r="B301" s="21" t="str">
        <f>'PLANILHA ORÇAMENTÁRIA'!B301</f>
        <v>13.75</v>
      </c>
      <c r="C301" s="153" t="str">
        <f>'PLANILHA ORÇAMENTÁRIA'!C301</f>
        <v>PMA ELE 033</v>
      </c>
      <c r="D301" s="24" t="str">
        <f>'PLANILHA ORÇAMENTÁRIA'!D301</f>
        <v>DISPOSITIVO DPS CLASSE II, 1 POLO, TENSAO MAXIMA DE 275 V, CORRENTE MAXIMA DE *20* KA (TIPO AC) - FORNECIMENTO E INSTALAÇÃO.</v>
      </c>
      <c r="E301" s="446" t="s">
        <v>1423</v>
      </c>
      <c r="F301" s="446"/>
      <c r="G301" s="446"/>
      <c r="H301" s="446"/>
      <c r="I301" s="48">
        <v>4</v>
      </c>
      <c r="J301" s="48" t="s">
        <v>309</v>
      </c>
    </row>
    <row r="302" spans="2:10" ht="38.25" x14ac:dyDescent="0.25">
      <c r="B302" s="21" t="str">
        <f>'PLANILHA ORÇAMENTÁRIA'!B302</f>
        <v>13.76</v>
      </c>
      <c r="C302" s="153" t="str">
        <f>'PLANILHA ORÇAMENTÁRIA'!C302</f>
        <v>PMA ELE 034</v>
      </c>
      <c r="D302" s="24" t="str">
        <f>'PLANILHA ORÇAMENTÁRIA'!D302</f>
        <v>FUSIVEL NH *36* A 80 AMPERES, TAMANHO 00, CAPACIDADE DE INTERRUPCAO DE ATÉ 120 KA, TENSAO NOMIMNAL DE 500 V - FORNECIMENTO E INSTALAÇÃO.</v>
      </c>
      <c r="E302" s="446" t="s">
        <v>1423</v>
      </c>
      <c r="F302" s="446"/>
      <c r="G302" s="446"/>
      <c r="H302" s="446"/>
      <c r="I302" s="48">
        <v>1</v>
      </c>
      <c r="J302" s="48" t="s">
        <v>309</v>
      </c>
    </row>
    <row r="303" spans="2:10" ht="51" x14ac:dyDescent="0.25">
      <c r="B303" s="21" t="str">
        <f>'PLANILHA ORÇAMENTÁRIA'!B303</f>
        <v>13.77</v>
      </c>
      <c r="C303" s="153">
        <f>'PLANILHA ORÇAMENTÁRIA'!C303</f>
        <v>101880</v>
      </c>
      <c r="D303" s="24" t="str">
        <f>'PLANILHA ORÇAMENTÁRIA'!D303</f>
        <v>QDG-N (DISTRIBUIÇÃO)  - QUADRO DE DISTRIBUIÇÃO DE ENERGIA EM CHAPA DE AÇO GALVANIZADO, DE EMBUTIR, COM BARRAMENTO TRIFÁSICO, PARA 30 DISJUNTORES DIN 150A - FORNECIMENTO E INSTALAÇÃO. AF_10/2020</v>
      </c>
      <c r="E303" s="446" t="s">
        <v>1423</v>
      </c>
      <c r="F303" s="446"/>
      <c r="G303" s="446"/>
      <c r="H303" s="446"/>
      <c r="I303" s="48">
        <v>1</v>
      </c>
      <c r="J303" s="48" t="s">
        <v>309</v>
      </c>
    </row>
    <row r="304" spans="2:10" ht="25.5" x14ac:dyDescent="0.25">
      <c r="B304" s="21" t="str">
        <f>'PLANILHA ORÇAMENTÁRIA'!B304</f>
        <v>13.78</v>
      </c>
      <c r="C304" s="153" t="str">
        <f>'PLANILHA ORÇAMENTÁRIA'!C304</f>
        <v>PMA ELE 037</v>
      </c>
      <c r="D304" s="24" t="str">
        <f>'PLANILHA ORÇAMENTÁRIA'!D304</f>
        <v>DISJUNTOR TERMOMAGNÉTICO TRIPOLAR , CORRENTE NOMINAL DE 150A - FORNECIMENTO E INSTALAÇÃO</v>
      </c>
      <c r="E304" s="446" t="s">
        <v>1423</v>
      </c>
      <c r="F304" s="446"/>
      <c r="G304" s="446"/>
      <c r="H304" s="446"/>
      <c r="I304" s="48">
        <v>1</v>
      </c>
      <c r="J304" s="48" t="s">
        <v>309</v>
      </c>
    </row>
    <row r="305" spans="2:10" ht="38.25" x14ac:dyDescent="0.25">
      <c r="B305" s="21" t="str">
        <f>'PLANILHA ORÇAMENTÁRIA'!B305</f>
        <v>13.79</v>
      </c>
      <c r="C305" s="153">
        <f>'PLANILHA ORÇAMENTÁRIA'!C305</f>
        <v>101895</v>
      </c>
      <c r="D305" s="24" t="str">
        <f>'PLANILHA ORÇAMENTÁRIA'!D305</f>
        <v>DISJUNTOR TERMOMAGNÉTICO TRIPOLAR , CORRENTE NOMINAL DE 100A - FORNECIMENTO E INSTALAÇÃO. AF_10/2020</v>
      </c>
      <c r="E305" s="446" t="s">
        <v>1423</v>
      </c>
      <c r="F305" s="446"/>
      <c r="G305" s="446"/>
      <c r="H305" s="446"/>
      <c r="I305" s="48">
        <v>1</v>
      </c>
      <c r="J305" s="48" t="s">
        <v>309</v>
      </c>
    </row>
    <row r="306" spans="2:10" ht="25.5" x14ac:dyDescent="0.25">
      <c r="B306" s="21" t="str">
        <f>'PLANILHA ORÇAMENTÁRIA'!B306</f>
        <v>13.80</v>
      </c>
      <c r="C306" s="153" t="str">
        <f>'PLANILHA ORÇAMENTÁRIA'!C306</f>
        <v>PMA ELE 038</v>
      </c>
      <c r="D306" s="24" t="str">
        <f>'PLANILHA ORÇAMENTÁRIA'!D306</f>
        <v>DISJUNTOR TRIPOLAR TIPO DIN, CORRENTE NOMINAL DE 90A - FORNECIMENTO E INSTALAÇÃO</v>
      </c>
      <c r="E306" s="446" t="s">
        <v>1423</v>
      </c>
      <c r="F306" s="446"/>
      <c r="G306" s="446"/>
      <c r="H306" s="446"/>
      <c r="I306" s="48">
        <v>1</v>
      </c>
      <c r="J306" s="48" t="s">
        <v>309</v>
      </c>
    </row>
    <row r="307" spans="2:10" ht="25.5" x14ac:dyDescent="0.25">
      <c r="B307" s="21" t="str">
        <f>'PLANILHA ORÇAMENTÁRIA'!B307</f>
        <v>13.81</v>
      </c>
      <c r="C307" s="153">
        <f>'PLANILHA ORÇAMENTÁRIA'!C307</f>
        <v>93673</v>
      </c>
      <c r="D307" s="24" t="str">
        <f>'PLANILHA ORÇAMENTÁRIA'!D307</f>
        <v>DISJUNTOR TRIPOLAR TIPO DIN, CORRENTE NOMINAL DE 50A - FORNECIMENTO E INSTALAÇÃO. AF_10/2020</v>
      </c>
      <c r="E307" s="446" t="s">
        <v>1423</v>
      </c>
      <c r="F307" s="446"/>
      <c r="G307" s="446"/>
      <c r="H307" s="446"/>
      <c r="I307" s="48">
        <v>2</v>
      </c>
      <c r="J307" s="48" t="s">
        <v>309</v>
      </c>
    </row>
    <row r="308" spans="2:10" ht="25.5" x14ac:dyDescent="0.25">
      <c r="B308" s="21" t="str">
        <f>'PLANILHA ORÇAMENTÁRIA'!B308</f>
        <v>13.82</v>
      </c>
      <c r="C308" s="153">
        <f>'PLANILHA ORÇAMENTÁRIA'!C308</f>
        <v>93672</v>
      </c>
      <c r="D308" s="24" t="str">
        <f>'PLANILHA ORÇAMENTÁRIA'!D308</f>
        <v>DISJUNTOR TRIPOLAR TIPO DIN, CORRENTE NOMINAL DE 40A - FORNECIMENTO E INSTALAÇÃO. AF_10/2020</v>
      </c>
      <c r="E308" s="446" t="s">
        <v>1423</v>
      </c>
      <c r="F308" s="446"/>
      <c r="G308" s="446"/>
      <c r="H308" s="446"/>
      <c r="I308" s="48">
        <v>1</v>
      </c>
      <c r="J308" s="48" t="s">
        <v>309</v>
      </c>
    </row>
    <row r="309" spans="2:10" ht="38.25" x14ac:dyDescent="0.25">
      <c r="B309" s="21" t="str">
        <f>'PLANILHA ORÇAMENTÁRIA'!B309</f>
        <v>13.83</v>
      </c>
      <c r="C309" s="153" t="str">
        <f>'PLANILHA ORÇAMENTÁRIA'!C309</f>
        <v>PMA ELE 033</v>
      </c>
      <c r="D309" s="24" t="str">
        <f>'PLANILHA ORÇAMENTÁRIA'!D309</f>
        <v>DISPOSITIVO DPS CLASSE II, 1 POLO, TENSAO MAXIMA DE 275 V, CORRENTE MAXIMA DE *20* KA (TIPO AC) - FORNECIMENTO E INSTALAÇÃO.</v>
      </c>
      <c r="E309" s="446" t="s">
        <v>1423</v>
      </c>
      <c r="F309" s="446"/>
      <c r="G309" s="446"/>
      <c r="H309" s="446"/>
      <c r="I309" s="48">
        <v>4</v>
      </c>
      <c r="J309" s="48" t="s">
        <v>309</v>
      </c>
    </row>
    <row r="310" spans="2:10" ht="38.25" x14ac:dyDescent="0.25">
      <c r="B310" s="21" t="str">
        <f>'PLANILHA ORÇAMENTÁRIA'!B310</f>
        <v>13.84</v>
      </c>
      <c r="C310" s="153" t="str">
        <f>'PLANILHA ORÇAMENTÁRIA'!C310</f>
        <v>PMA ELE 034</v>
      </c>
      <c r="D310" s="24" t="str">
        <f>'PLANILHA ORÇAMENTÁRIA'!D310</f>
        <v>FUSIVEL NH *36* A 80 AMPERES, TAMANHO 00, CAPACIDADE DE INTERRUPCAO DE ATÉ 120 KA, TENSAO NOMIMNAL DE 500 V - FORNECIMENTO E INSTALAÇÃO.</v>
      </c>
      <c r="E310" s="446" t="s">
        <v>1423</v>
      </c>
      <c r="F310" s="446"/>
      <c r="G310" s="446"/>
      <c r="H310" s="446"/>
      <c r="I310" s="48">
        <v>1</v>
      </c>
      <c r="J310" s="48" t="s">
        <v>309</v>
      </c>
    </row>
    <row r="311" spans="2:10" ht="63.75" x14ac:dyDescent="0.25">
      <c r="B311" s="21" t="str">
        <f>'PLANILHA ORÇAMENTÁRIA'!B311</f>
        <v>13.85</v>
      </c>
      <c r="C311" s="153">
        <f>'PLANILHA ORÇAMENTÁRIA'!C311</f>
        <v>101875</v>
      </c>
      <c r="D311" s="24" t="str">
        <f>'PLANILHA ORÇAMENTÁRIA'!D311</f>
        <v>QLT-N-COPA - QUADRO DE DISTRIBUIÇÃO DE ENERGIA EM CHAPA DE AÇO GALVANIZADO, DE EMBUTIR, COM BARRAMENTO TRIFÁSICO, PARA 12 DISJUNTORES DIN 100A - FORNECIM
ENTO E INSTALAÇÃO. AF_10/2020</v>
      </c>
      <c r="E311" s="446" t="s">
        <v>1423</v>
      </c>
      <c r="F311" s="446"/>
      <c r="G311" s="446"/>
      <c r="H311" s="446"/>
      <c r="I311" s="48">
        <v>1</v>
      </c>
      <c r="J311" s="48" t="s">
        <v>309</v>
      </c>
    </row>
    <row r="312" spans="2:10" ht="25.5" x14ac:dyDescent="0.25">
      <c r="B312" s="21" t="str">
        <f>'PLANILHA ORÇAMENTÁRIA'!B312</f>
        <v>13.86</v>
      </c>
      <c r="C312" s="153">
        <f>'PLANILHA ORÇAMENTÁRIA'!C312</f>
        <v>93654</v>
      </c>
      <c r="D312" s="24" t="str">
        <f>'PLANILHA ORÇAMENTÁRIA'!D312</f>
        <v>DISJUNTOR MONOPOLAR TIPO DIN, CORRENTE NOMINAL DE 16A - FORNECIMENTO E INSTALAÇÃO. AF_10/2020</v>
      </c>
      <c r="E312" s="446" t="s">
        <v>1423</v>
      </c>
      <c r="F312" s="446"/>
      <c r="G312" s="446"/>
      <c r="H312" s="446"/>
      <c r="I312" s="48">
        <v>2</v>
      </c>
      <c r="J312" s="48" t="s">
        <v>309</v>
      </c>
    </row>
    <row r="313" spans="2:10" ht="25.5" x14ac:dyDescent="0.25">
      <c r="B313" s="21" t="str">
        <f>'PLANILHA ORÇAMENTÁRIA'!B313</f>
        <v>13.87</v>
      </c>
      <c r="C313" s="153">
        <f>'PLANILHA ORÇAMENTÁRIA'!C313</f>
        <v>93655</v>
      </c>
      <c r="D313" s="24" t="str">
        <f>'PLANILHA ORÇAMENTÁRIA'!D313</f>
        <v>DISJUNTOR MONOPOLAR TIPO DIN, CORRENTE NOMINAL DE 20A - FORNECIMENTO E INSTALAÇÃO. AF_10/2020</v>
      </c>
      <c r="E313" s="446" t="s">
        <v>1423</v>
      </c>
      <c r="F313" s="446"/>
      <c r="G313" s="446"/>
      <c r="H313" s="446"/>
      <c r="I313" s="48">
        <v>2</v>
      </c>
      <c r="J313" s="48" t="s">
        <v>309</v>
      </c>
    </row>
    <row r="314" spans="2:10" ht="25.5" x14ac:dyDescent="0.25">
      <c r="B314" s="21" t="str">
        <f>'PLANILHA ORÇAMENTÁRIA'!B314</f>
        <v>13.88</v>
      </c>
      <c r="C314" s="153">
        <f>'PLANILHA ORÇAMENTÁRIA'!C314</f>
        <v>93662</v>
      </c>
      <c r="D314" s="24" t="str">
        <f>'PLANILHA ORÇAMENTÁRIA'!D314</f>
        <v>DISJUNTOR BIPOLAR TIPO DIN, CORRENTE NOMINAL DE 20A - FORNECIMENTO E INSTALAÇÃO. AF_10/2020</v>
      </c>
      <c r="E314" s="446" t="s">
        <v>1423</v>
      </c>
      <c r="F314" s="446"/>
      <c r="G314" s="446"/>
      <c r="H314" s="446"/>
      <c r="I314" s="48">
        <v>1</v>
      </c>
      <c r="J314" s="48" t="s">
        <v>309</v>
      </c>
    </row>
    <row r="315" spans="2:10" ht="38.25" x14ac:dyDescent="0.25">
      <c r="B315" s="21" t="str">
        <f>'PLANILHA ORÇAMENTÁRIA'!B315</f>
        <v>13.89</v>
      </c>
      <c r="C315" s="153" t="str">
        <f>'PLANILHA ORÇAMENTÁRIA'!C315</f>
        <v>PMA ELE 036</v>
      </c>
      <c r="D315" s="24" t="str">
        <f>'PLANILHA ORÇAMENTÁRIA'!D315</f>
        <v>DISPOSITIVO DR, 4 POLOS, SENSIBILIDADE DE 30 MA, CORRENTE DE 40 A, TIPO AC - FORNECIMENTO E INSTALAÇÃO.</v>
      </c>
      <c r="E315" s="446" t="s">
        <v>1423</v>
      </c>
      <c r="F315" s="446"/>
      <c r="G315" s="446"/>
      <c r="H315" s="446"/>
      <c r="I315" s="48">
        <v>1</v>
      </c>
      <c r="J315" s="48" t="s">
        <v>309</v>
      </c>
    </row>
    <row r="316" spans="2:10" ht="63.75" x14ac:dyDescent="0.25">
      <c r="B316" s="21" t="str">
        <f>'PLANILHA ORÇAMENTÁRIA'!B316</f>
        <v>13.90</v>
      </c>
      <c r="C316" s="153" t="str">
        <f>'PLANILHA ORÇAMENTÁRIA'!C316</f>
        <v>PMA ELE 035</v>
      </c>
      <c r="D316" s="24" t="str">
        <f>'PLANILHA ORÇAMENTÁRIA'!D316</f>
        <v xml:space="preserve">QLT-N-1 - QUADRO DE DISTRIBUIÇÃO DE ENERGIA EM CHAPA DE AÇO GALVANIZADO, DE EMBUTIR, COM BARRAMENTO TRIFÁSICO, PARA 48 DISJUNTORES DIN 100A - FORNECIM
ENTO E INSTALAÇÃO. </v>
      </c>
      <c r="E316" s="446" t="s">
        <v>1423</v>
      </c>
      <c r="F316" s="446"/>
      <c r="G316" s="446"/>
      <c r="H316" s="446"/>
      <c r="I316" s="48">
        <v>1</v>
      </c>
      <c r="J316" s="48" t="s">
        <v>309</v>
      </c>
    </row>
    <row r="317" spans="2:10" ht="38.25" x14ac:dyDescent="0.25">
      <c r="B317" s="21" t="str">
        <f>'PLANILHA ORÇAMENTÁRIA'!B317</f>
        <v>13.91</v>
      </c>
      <c r="C317" s="153" t="str">
        <f>'PLANILHA ORÇAMENTÁRIA'!C317</f>
        <v>PMA ELE 041</v>
      </c>
      <c r="D317" s="24" t="str">
        <f>'PLANILHA ORÇAMENTÁRIA'!D317</f>
        <v>DISPOSITIVO DR, 4 POLOS, SENSIBILIDADE DE 30 MA, CORRENTE DE 40 A, TIPO AC - FORNECIMENTO E INSTALAÇÃO.</v>
      </c>
      <c r="E317" s="446" t="s">
        <v>1423</v>
      </c>
      <c r="F317" s="446"/>
      <c r="G317" s="446"/>
      <c r="H317" s="446"/>
      <c r="I317" s="48">
        <v>4</v>
      </c>
      <c r="J317" s="48" t="s">
        <v>309</v>
      </c>
    </row>
    <row r="318" spans="2:10" ht="25.5" x14ac:dyDescent="0.25">
      <c r="B318" s="21" t="str">
        <f>'PLANILHA ORÇAMENTÁRIA'!B318</f>
        <v>13.92</v>
      </c>
      <c r="C318" s="153">
        <f>'PLANILHA ORÇAMENTÁRIA'!C318</f>
        <v>93654</v>
      </c>
      <c r="D318" s="24" t="str">
        <f>'PLANILHA ORÇAMENTÁRIA'!D318</f>
        <v>DISJUNTOR MONOPOLAR TIPO DIN, CORRENTE NOMINAL DE 16A - FORNECIMENTO E INSTALAÇÃO. AF_10/2020</v>
      </c>
      <c r="E318" s="446" t="s">
        <v>1423</v>
      </c>
      <c r="F318" s="446"/>
      <c r="G318" s="446"/>
      <c r="H318" s="446"/>
      <c r="I318" s="48">
        <v>4</v>
      </c>
      <c r="J318" s="48" t="s">
        <v>309</v>
      </c>
    </row>
    <row r="319" spans="2:10" ht="25.5" x14ac:dyDescent="0.25">
      <c r="B319" s="21" t="str">
        <f>'PLANILHA ORÇAMENTÁRIA'!B319</f>
        <v>13.93</v>
      </c>
      <c r="C319" s="153">
        <f>'PLANILHA ORÇAMENTÁRIA'!C319</f>
        <v>93655</v>
      </c>
      <c r="D319" s="24" t="str">
        <f>'PLANILHA ORÇAMENTÁRIA'!D319</f>
        <v>DISJUNTOR MONOPOLAR TIPO DIN, CORRENTE NOMINAL DE 20A - FORNECIMENTO E INSTALAÇÃO. AF_10/2020</v>
      </c>
      <c r="E319" s="446" t="s">
        <v>1423</v>
      </c>
      <c r="F319" s="446"/>
      <c r="G319" s="446"/>
      <c r="H319" s="446"/>
      <c r="I319" s="48">
        <v>13</v>
      </c>
      <c r="J319" s="48" t="s">
        <v>309</v>
      </c>
    </row>
    <row r="320" spans="2:10" ht="25.5" x14ac:dyDescent="0.25">
      <c r="B320" s="21" t="str">
        <f>'PLANILHA ORÇAMENTÁRIA'!B320</f>
        <v>13.94</v>
      </c>
      <c r="C320" s="153">
        <f>'PLANILHA ORÇAMENTÁRIA'!C320</f>
        <v>93662</v>
      </c>
      <c r="D320" s="24" t="str">
        <f>'PLANILHA ORÇAMENTÁRIA'!D320</f>
        <v>DISJUNTOR BIPOLAR TIPO DIN, CORRENTE NOMINAL DE 20A - FORNECIMENTO E INSTALAÇÃO. AF_10/2020</v>
      </c>
      <c r="E320" s="446" t="s">
        <v>1423</v>
      </c>
      <c r="F320" s="446"/>
      <c r="G320" s="446"/>
      <c r="H320" s="446"/>
      <c r="I320" s="48">
        <v>1</v>
      </c>
      <c r="J320" s="48" t="s">
        <v>309</v>
      </c>
    </row>
    <row r="321" spans="2:10" ht="25.5" x14ac:dyDescent="0.25">
      <c r="B321" s="21" t="str">
        <f>'PLANILHA ORÇAMENTÁRIA'!B321</f>
        <v>13.95</v>
      </c>
      <c r="C321" s="153">
        <f>'PLANILHA ORÇAMENTÁRIA'!C321</f>
        <v>93665</v>
      </c>
      <c r="D321" s="24" t="str">
        <f>'PLANILHA ORÇAMENTÁRIA'!D321</f>
        <v>DISJUNTOR BIPOLAR TIPO DIN, CORRENTE NOMINAL DE 40A - FORNECIMENTO E INSTALAÇÃO. AF_10/2020</v>
      </c>
      <c r="E321" s="446" t="s">
        <v>1423</v>
      </c>
      <c r="F321" s="446"/>
      <c r="G321" s="446"/>
      <c r="H321" s="446"/>
      <c r="I321" s="48">
        <v>2</v>
      </c>
      <c r="J321" s="48" t="s">
        <v>309</v>
      </c>
    </row>
    <row r="322" spans="2:10" ht="25.5" x14ac:dyDescent="0.25">
      <c r="B322" s="21" t="str">
        <f>'PLANILHA ORÇAMENTÁRIA'!B322</f>
        <v>13.96</v>
      </c>
      <c r="C322" s="153">
        <f>'PLANILHA ORÇAMENTÁRIA'!C322</f>
        <v>101894</v>
      </c>
      <c r="D322" s="24" t="str">
        <f>'PLANILHA ORÇAMENTÁRIA'!D322</f>
        <v>DISJUNTOR TRIPOLAR TIPO DIN, CORRENTE NOMINAL DE 63A - FORNECIMENTO E INSTALAÇÃO. AF_10/2020</v>
      </c>
      <c r="E322" s="446" t="s">
        <v>1423</v>
      </c>
      <c r="F322" s="446"/>
      <c r="G322" s="446"/>
      <c r="H322" s="446"/>
      <c r="I322" s="48">
        <v>1</v>
      </c>
      <c r="J322" s="48" t="s">
        <v>309</v>
      </c>
    </row>
    <row r="323" spans="2:10" ht="25.5" x14ac:dyDescent="0.25">
      <c r="B323" s="21" t="str">
        <f>'PLANILHA ORÇAMENTÁRIA'!B323</f>
        <v>13.97</v>
      </c>
      <c r="C323" s="153" t="str">
        <f>'PLANILHA ORÇAMENTÁRIA'!C323</f>
        <v>PMA ELE 039</v>
      </c>
      <c r="D323" s="24" t="str">
        <f>'PLANILHA ORÇAMENTÁRIA'!D323</f>
        <v xml:space="preserve">DISJUNTOR TRIPOLAR TIPO DIN, CORRENTE NOMINAL DE 80A - FORNECIMENTO E INSTALAÇÃO. </v>
      </c>
      <c r="E323" s="446" t="s">
        <v>1423</v>
      </c>
      <c r="F323" s="446"/>
      <c r="G323" s="446"/>
      <c r="H323" s="446"/>
      <c r="I323" s="48">
        <v>1</v>
      </c>
      <c r="J323" s="48" t="s">
        <v>309</v>
      </c>
    </row>
    <row r="324" spans="2:10" ht="38.25" x14ac:dyDescent="0.25">
      <c r="B324" s="21" t="str">
        <f>'PLANILHA ORÇAMENTÁRIA'!B324</f>
        <v>13.98</v>
      </c>
      <c r="C324" s="153" t="str">
        <f>'PLANILHA ORÇAMENTÁRIA'!C324</f>
        <v>PMA ELE 040</v>
      </c>
      <c r="D324" s="24" t="str">
        <f>'PLANILHA ORÇAMENTÁRIA'!D324</f>
        <v>DISPOSITIVO DR, 4 POLOS, SENSIBILIDADE DE 30 MA, CORRENTE DE 63 A, TIPO AC - FORNECIMENTO E INSTALAÇÃO.</v>
      </c>
      <c r="E324" s="446" t="s">
        <v>1423</v>
      </c>
      <c r="F324" s="446"/>
      <c r="G324" s="446"/>
      <c r="H324" s="446"/>
      <c r="I324" s="48">
        <v>1</v>
      </c>
      <c r="J324" s="48" t="s">
        <v>309</v>
      </c>
    </row>
    <row r="325" spans="2:10" ht="63.75" x14ac:dyDescent="0.25">
      <c r="B325" s="21" t="str">
        <f>'PLANILHA ORÇAMENTÁRIA'!B325</f>
        <v>13.99</v>
      </c>
      <c r="C325" s="153" t="str">
        <f>'PLANILHA ORÇAMENTÁRIA'!C325</f>
        <v>PMA ELE 035</v>
      </c>
      <c r="D325" s="24" t="str">
        <f>'PLANILHA ORÇAMENTÁRIA'!D325</f>
        <v xml:space="preserve">QLT-N- 2 - QUADRO DE DISTRIBUIÇÃO DE ENERGIA EM CHAPA DE AÇO GALVANIZADO, DE EMBUTIR, COM BARRAMENTO TRIFÁSICO, PARA 48 DISJUNTORES DIN 100A - FORNECIM
ENTO E INSTALAÇÃO. </v>
      </c>
      <c r="E325" s="446" t="s">
        <v>1423</v>
      </c>
      <c r="F325" s="446"/>
      <c r="G325" s="446"/>
      <c r="H325" s="446"/>
      <c r="I325" s="48">
        <v>1</v>
      </c>
      <c r="J325" s="48" t="s">
        <v>309</v>
      </c>
    </row>
    <row r="326" spans="2:10" ht="25.5" x14ac:dyDescent="0.25">
      <c r="B326" s="263" t="str">
        <f>'PLANILHA ORÇAMENTÁRIA'!B326</f>
        <v>13.100</v>
      </c>
      <c r="C326" s="153">
        <f>'PLANILHA ORÇAMENTÁRIA'!C326</f>
        <v>93654</v>
      </c>
      <c r="D326" s="24" t="str">
        <f>'PLANILHA ORÇAMENTÁRIA'!D326</f>
        <v>DISJUNTOR MONOPOLAR TIPO DIN, CORRENTE NOMINAL DE 16A - FORNECIMENTO E INSTALAÇÃO. AF_10/2020</v>
      </c>
      <c r="E326" s="446" t="s">
        <v>1423</v>
      </c>
      <c r="F326" s="446"/>
      <c r="G326" s="446"/>
      <c r="H326" s="446"/>
      <c r="I326" s="48">
        <v>5</v>
      </c>
      <c r="J326" s="48" t="s">
        <v>309</v>
      </c>
    </row>
    <row r="327" spans="2:10" ht="25.5" x14ac:dyDescent="0.25">
      <c r="B327" s="263" t="str">
        <f>'PLANILHA ORÇAMENTÁRIA'!B327</f>
        <v>13.101</v>
      </c>
      <c r="C327" s="153">
        <f>'PLANILHA ORÇAMENTÁRIA'!C327</f>
        <v>93655</v>
      </c>
      <c r="D327" s="24" t="str">
        <f>'PLANILHA ORÇAMENTÁRIA'!D327</f>
        <v>DISJUNTOR MONOPOLAR TIPO DIN, CORRENTE NOMINAL DE 20A - FORNECIMENTO E INSTALAÇÃO. AF_10/2020</v>
      </c>
      <c r="E327" s="446" t="s">
        <v>1423</v>
      </c>
      <c r="F327" s="446"/>
      <c r="G327" s="446"/>
      <c r="H327" s="446"/>
      <c r="I327" s="48">
        <v>7</v>
      </c>
      <c r="J327" s="48" t="s">
        <v>309</v>
      </c>
    </row>
    <row r="328" spans="2:10" ht="25.5" x14ac:dyDescent="0.25">
      <c r="B328" s="263" t="str">
        <f>'PLANILHA ORÇAMENTÁRIA'!B328</f>
        <v>13.102</v>
      </c>
      <c r="C328" s="153">
        <f>'PLANILHA ORÇAMENTÁRIA'!C328</f>
        <v>93662</v>
      </c>
      <c r="D328" s="24" t="str">
        <f>'PLANILHA ORÇAMENTÁRIA'!D328</f>
        <v>DISJUNTOR BIPOLAR TIPO DIN, CORRENTE NOMINAL DE 20A - FORNECIMENTO E INSTALAÇÃO. AF_10/2020</v>
      </c>
      <c r="E328" s="446" t="s">
        <v>1423</v>
      </c>
      <c r="F328" s="446"/>
      <c r="G328" s="446"/>
      <c r="H328" s="446"/>
      <c r="I328" s="48">
        <v>2</v>
      </c>
      <c r="J328" s="48" t="s">
        <v>309</v>
      </c>
    </row>
    <row r="329" spans="2:10" ht="25.5" x14ac:dyDescent="0.25">
      <c r="B329" s="263" t="str">
        <f>'PLANILHA ORÇAMENTÁRIA'!B329</f>
        <v>13.103</v>
      </c>
      <c r="C329" s="153">
        <f>'PLANILHA ORÇAMENTÁRIA'!C329</f>
        <v>93672</v>
      </c>
      <c r="D329" s="24" t="str">
        <f>'PLANILHA ORÇAMENTÁRIA'!D329</f>
        <v>DISJUNTOR TRIPOLAR TIPO DIN, CORRENTE NOMINAL DE 40A - FORNECIMENTO E INSTALAÇÃO. AF_10/2020</v>
      </c>
      <c r="E329" s="446" t="s">
        <v>1423</v>
      </c>
      <c r="F329" s="446"/>
      <c r="G329" s="446"/>
      <c r="H329" s="446"/>
      <c r="I329" s="48">
        <v>1</v>
      </c>
      <c r="J329" s="48" t="s">
        <v>309</v>
      </c>
    </row>
    <row r="330" spans="2:10" ht="38.25" x14ac:dyDescent="0.25">
      <c r="B330" s="263" t="str">
        <f>'PLANILHA ORÇAMENTÁRIA'!B330</f>
        <v>13.104</v>
      </c>
      <c r="C330" s="153" t="str">
        <f>'PLANILHA ORÇAMENTÁRIA'!C330</f>
        <v>PMA ELE 042</v>
      </c>
      <c r="D330" s="24" t="str">
        <f>'PLANILHA ORÇAMENTÁRIA'!D330</f>
        <v>DISPOSITIVO DPS CLASSE II, 1 POLO, TENSAO MAXIMA DE 275 V, CORRENTE MAXIMA DE *20* KA (TIPO AC) - FORNECIMENTO E INSTALAÇÃO.</v>
      </c>
      <c r="E330" s="446" t="s">
        <v>1423</v>
      </c>
      <c r="F330" s="446"/>
      <c r="G330" s="446"/>
      <c r="H330" s="446"/>
      <c r="I330" s="48">
        <v>4</v>
      </c>
      <c r="J330" s="48" t="s">
        <v>309</v>
      </c>
    </row>
    <row r="331" spans="2:10" ht="38.25" x14ac:dyDescent="0.25">
      <c r="B331" s="263" t="str">
        <f>'PLANILHA ORÇAMENTÁRIA'!B331</f>
        <v>13.105</v>
      </c>
      <c r="C331" s="153" t="str">
        <f>'PLANILHA ORÇAMENTÁRIA'!C331</f>
        <v>PMA ELE 036</v>
      </c>
      <c r="D331" s="24" t="str">
        <f>'PLANILHA ORÇAMENTÁRIA'!D331</f>
        <v>DISPOSITIVO DR, 4 POLOS, SENSIBILIDADE DE 30 MA, CORRENTE DE 40 A, TIPO AC - FORNECIMENTO E INSTALAÇÃO.</v>
      </c>
      <c r="E331" s="446" t="s">
        <v>1423</v>
      </c>
      <c r="F331" s="446"/>
      <c r="G331" s="446"/>
      <c r="H331" s="446"/>
      <c r="I331" s="48">
        <v>1</v>
      </c>
      <c r="J331" s="48" t="s">
        <v>309</v>
      </c>
    </row>
    <row r="332" spans="2:10" ht="51" x14ac:dyDescent="0.25">
      <c r="B332" s="263" t="str">
        <f>'PLANILHA ORÇAMENTÁRIA'!B332</f>
        <v>13.106</v>
      </c>
      <c r="C332" s="153">
        <f>'PLANILHA ORÇAMENTÁRIA'!C332</f>
        <v>101875</v>
      </c>
      <c r="D332" s="24" t="str">
        <f>'PLANILHA ORÇAMENTÁRIA'!D332</f>
        <v>QT-NB-1 - QUADRO DE DISTRIBUIÇÃO DE ENERGIA EM CHAPA DE AÇO GALVANIZADO, DE EMBUTIR, COM BARRAMENTO TRIFÁSICO, PARA 12 DISJUNTORES DIN 100A - FORNECIMENTO E INSTALAÇÃO. AF_10/2020</v>
      </c>
      <c r="E332" s="446" t="s">
        <v>1423</v>
      </c>
      <c r="F332" s="446"/>
      <c r="G332" s="446"/>
      <c r="H332" s="446"/>
      <c r="I332" s="48">
        <v>1</v>
      </c>
      <c r="J332" s="48" t="s">
        <v>309</v>
      </c>
    </row>
    <row r="333" spans="2:10" ht="25.5" x14ac:dyDescent="0.25">
      <c r="B333" s="263" t="str">
        <f>'PLANILHA ORÇAMENTÁRIA'!B333</f>
        <v>13.107</v>
      </c>
      <c r="C333" s="153">
        <f>'PLANILHA ORÇAMENTÁRIA'!C333</f>
        <v>93655</v>
      </c>
      <c r="D333" s="24" t="str">
        <f>'PLANILHA ORÇAMENTÁRIA'!D333</f>
        <v>DISJUNTOR MONOPOLAR TIPO DIN, CORRENTE NOMINAL DE 20A - FORNECIMENTO E INSTALAÇÃO. AF_10/2020</v>
      </c>
      <c r="E333" s="446" t="s">
        <v>1423</v>
      </c>
      <c r="F333" s="446"/>
      <c r="G333" s="446"/>
      <c r="H333" s="446"/>
      <c r="I333" s="48">
        <v>8</v>
      </c>
      <c r="J333" s="48" t="s">
        <v>309</v>
      </c>
    </row>
    <row r="334" spans="2:10" ht="38.25" x14ac:dyDescent="0.25">
      <c r="B334" s="263" t="str">
        <f>'PLANILHA ORÇAMENTÁRIA'!B334</f>
        <v>13.108</v>
      </c>
      <c r="C334" s="153" t="str">
        <f>'PLANILHA ORÇAMENTÁRIA'!C334</f>
        <v>93661</v>
      </c>
      <c r="D334" s="336" t="str">
        <f>'PLANILHA ORÇAMENTÁRIA'!D334</f>
        <v>DISJUNTOR BIPOLAR TIPO DIN, CORRENTE NOMINAL DE 16A - FORNECIMENTO E INSTALAÇÃO. AF_10/2020 (AR-CONDICIONADO)</v>
      </c>
      <c r="E334" s="446" t="s">
        <v>1645</v>
      </c>
      <c r="F334" s="446"/>
      <c r="G334" s="446"/>
      <c r="H334" s="446"/>
      <c r="I334" s="48">
        <v>5</v>
      </c>
      <c r="J334" s="48" t="s">
        <v>309</v>
      </c>
    </row>
    <row r="335" spans="2:10" ht="38.25" x14ac:dyDescent="0.25">
      <c r="B335" s="263" t="str">
        <f>'PLANILHA ORÇAMENTÁRIA'!B335</f>
        <v>13.109</v>
      </c>
      <c r="C335" s="153">
        <f>'PLANILHA ORÇAMENTÁRIA'!C335</f>
        <v>93662</v>
      </c>
      <c r="D335" s="336" t="str">
        <f>'PLANILHA ORÇAMENTÁRIA'!D335</f>
        <v>DISJUNTOR BIPOLAR TIPO DIN, CORRENTE NOMINAL DE 20A - FORNECIMENTO E INSTALAÇÃO. AF_10/2020 (AR-CONDICIONADO)</v>
      </c>
      <c r="E335" s="446" t="s">
        <v>1646</v>
      </c>
      <c r="F335" s="446"/>
      <c r="G335" s="446"/>
      <c r="H335" s="446"/>
      <c r="I335" s="48">
        <v>18</v>
      </c>
      <c r="J335" s="48" t="s">
        <v>309</v>
      </c>
    </row>
    <row r="336" spans="2:10" ht="38.25" x14ac:dyDescent="0.25">
      <c r="B336" s="263" t="str">
        <f>'PLANILHA ORÇAMENTÁRIA'!B336</f>
        <v>13.110</v>
      </c>
      <c r="C336" s="153" t="str">
        <f>'PLANILHA ORÇAMENTÁRIA'!C336</f>
        <v>93663</v>
      </c>
      <c r="D336" s="24" t="str">
        <f>'PLANILHA ORÇAMENTÁRIA'!D336</f>
        <v>DISJUNTOR BIPOLAR TIPO DIN, CORRENTE NOMINAL DE 25A - FORNECIMENTO E INSTALAÇÃO. AF_10/2020 (AR-CONDICIONADO)</v>
      </c>
      <c r="E336" s="446" t="s">
        <v>1647</v>
      </c>
      <c r="F336" s="446"/>
      <c r="G336" s="446"/>
      <c r="H336" s="446"/>
      <c r="I336" s="48">
        <v>1</v>
      </c>
      <c r="J336" s="48" t="s">
        <v>309</v>
      </c>
    </row>
    <row r="337" spans="2:13" ht="89.25" x14ac:dyDescent="0.25">
      <c r="B337" s="263" t="str">
        <f>'PLANILHA ORÇAMENTÁRIA'!B337</f>
        <v>13.111</v>
      </c>
      <c r="C337" s="153" t="str">
        <f>'PLANILHA ORÇAMENTÁRIA'!C337</f>
        <v>PMA ELE 044</v>
      </c>
      <c r="D337" s="24" t="str">
        <f>'PLANILHA ORÇAMENTÁRIA'!D337</f>
        <v>LUMINÁRIA DE EMBUTIR EM FORRO DE GESSO OU MODULAR DE PERFIL “T” DE ABA 25MM COM BARRA DE LED 32W E EMISSÃO DE LUZ NA COR BRANCO NEUTRO 4000K ( ± 200 ). CORPO EM CHAPA DE AÇO TRATADA COM ACABAMENTO EM PINTURA ELETROSTÁTICA NA COR BRANCA. DIFUSOR EM ACRÍLICO TRANSLÚCIDO, INCLUSIVE AS LÂMPADAS - FORNECIMENTO E INSTALAÇÃO.</v>
      </c>
      <c r="E337" s="446" t="s">
        <v>1399</v>
      </c>
      <c r="F337" s="446"/>
      <c r="G337" s="446"/>
      <c r="H337" s="446"/>
      <c r="I337" s="48">
        <v>12</v>
      </c>
      <c r="J337" s="48" t="s">
        <v>309</v>
      </c>
    </row>
    <row r="338" spans="2:13" ht="89.25" x14ac:dyDescent="0.25">
      <c r="B338" s="263" t="str">
        <f>'PLANILHA ORÇAMENTÁRIA'!B338</f>
        <v>13.112</v>
      </c>
      <c r="C338" s="153" t="str">
        <f>'PLANILHA ORÇAMENTÁRIA'!C338</f>
        <v>PMA ELE 045</v>
      </c>
      <c r="D338" s="24" t="str">
        <f>'PLANILHA ORÇAMENTÁRIA'!D338</f>
        <v>LUMINÁRIA DE EMBUTIR EM FORRO DE GESSO OU MODULAR DE PERFIL “T” DE ABA 25MM COM BARRA DE LED 49W E EMISSÃO DE LUZ NA COR BRANCO NEUTRO 4000K ( ± 200 ). CORPO EM CHAPA DE AÇO TRATADA COM ACABAMENTO EM PINTURA ELETROSTÁTICA NA COR BRANCA. DIFUSOR EM ACRÍLICO TRANSLÚCIDO, INCLUSIVE AS LÂMPADAS - FORNECIMENTO E INSTALAÇÃO.</v>
      </c>
      <c r="E338" s="446" t="s">
        <v>1399</v>
      </c>
      <c r="F338" s="446"/>
      <c r="G338" s="446"/>
      <c r="H338" s="446"/>
      <c r="I338" s="48">
        <v>71</v>
      </c>
      <c r="J338" s="48" t="s">
        <v>309</v>
      </c>
    </row>
    <row r="339" spans="2:13" ht="89.25" x14ac:dyDescent="0.25">
      <c r="B339" s="263" t="str">
        <f>'PLANILHA ORÇAMENTÁRIA'!B339</f>
        <v>13.113</v>
      </c>
      <c r="C339" s="153" t="str">
        <f>'PLANILHA ORÇAMENTÁRIA'!C339</f>
        <v>PMA ELE 046</v>
      </c>
      <c r="D339" s="24" t="str">
        <f>'PLANILHA ORÇAMENTÁRIA'!D339</f>
        <v>LUMINÁRIA QUADRADA DE EMBUTIR, COM LED DE 9W TOTAL E EMISSÃO DE LUZ NA COR BRANCO NEUTRO 4000K ( ± 200) IRC&gt;80. ABA EM POLÍMERO INJETADO NA COR BRANCA. REFLETOR EM CHAPA DE AÇO COM PINTURA ELETROSTÁTICA NA COR BRANCA. DIFUSOR RECUADO TRANSLÚCIDO, INCLUSIVE AS LÂMPADAS - FORNECIMENTO E INSTALAÇÃO.</v>
      </c>
      <c r="E339" s="446" t="s">
        <v>1399</v>
      </c>
      <c r="F339" s="446"/>
      <c r="G339" s="446"/>
      <c r="H339" s="446"/>
      <c r="I339" s="48">
        <v>12</v>
      </c>
      <c r="J339" s="48" t="s">
        <v>309</v>
      </c>
    </row>
    <row r="340" spans="2:13" ht="178.5" x14ac:dyDescent="0.25">
      <c r="B340" s="263" t="str">
        <f>'PLANILHA ORÇAMENTÁRIA'!B340</f>
        <v>13.114</v>
      </c>
      <c r="C340" s="153" t="str">
        <f>'PLANILHA ORÇAMENTÁRIA'!C340</f>
        <v>PMA ELE 053</v>
      </c>
      <c r="D340" s="24" t="str">
        <f>'PLANILHA ORÇAMENTÁRIA'!D340</f>
        <v>LUMINÁRIA PENDENTE OU DE SOBREPOR COM LED 18W E EMISSÃO DE LUZ NA COR BRANCO NEUTRO 4000K ( ± 200 ). CORPO EM POLICARBONATO INJETADO. REFLETOR EM CHAPA GALVANIZADA COM ACABAMENTO EM PINTURA ELETROSTÁTICA BRANCA . DIFUSOR EM POLICARBONATO INJETADO TRANSLÚCIDO DE ALTO IMPACTO COM ACABAMENTO INTERNO PRISMÁTICO E EXTERNO LISO ESTABILIZADO PARA RAIOS UV. VEDAÇÃO EM GEL SILICONE CONTINUO E GRAU DE PROTEÇÃO IP-65. POSSUI  FECHOS E PRENSA-CABO INJETADOS EM NYLON (PARA CABOS DE 0 6 A 12 MM). IRC&gt;80. INSTALAÇÃO EM PERFILADO POR SUSPENSÃO TIPO GANCHO 1-14 (NÃO INCLUSOS). DRIVER INCLUSO , INSTALADO DENTRO DA LUMINARIA, INCLUSIVE AS LÂMPADAS - FORNECIMENTO E INSTALAÇÃO.</v>
      </c>
      <c r="E340" s="446" t="s">
        <v>1399</v>
      </c>
      <c r="F340" s="446"/>
      <c r="G340" s="446"/>
      <c r="H340" s="446"/>
      <c r="I340" s="48">
        <v>18</v>
      </c>
      <c r="J340" s="48" t="s">
        <v>309</v>
      </c>
    </row>
    <row r="341" spans="2:13" ht="38.25" x14ac:dyDescent="0.25">
      <c r="B341" s="263" t="str">
        <f>'PLANILHA ORÇAMENTÁRIA'!B341</f>
        <v>13.115</v>
      </c>
      <c r="C341" s="153">
        <f>'PLANILHA ORÇAMENTÁRIA'!C341</f>
        <v>97607</v>
      </c>
      <c r="D341" s="24" t="str">
        <f>'PLANILHA ORÇAMENTÁRIA'!D341</f>
        <v>LUMINÁRIA ARANDELA TIPO TARTARUGA, DE SOBREPOR, COM 1 LÂMPADA LED DE 6W, SEM REATOR - FORNECIMENTO E INSTALAÇÃO. AF_02/2020</v>
      </c>
      <c r="E341" s="446" t="s">
        <v>1399</v>
      </c>
      <c r="F341" s="446"/>
      <c r="G341" s="446"/>
      <c r="H341" s="446"/>
      <c r="I341" s="48">
        <v>26</v>
      </c>
      <c r="J341" s="48" t="s">
        <v>309</v>
      </c>
    </row>
    <row r="342" spans="2:13" ht="38.25" x14ac:dyDescent="0.25">
      <c r="B342" s="263" t="str">
        <f>'PLANILHA ORÇAMENTÁRIA'!B342</f>
        <v>13.116</v>
      </c>
      <c r="C342" s="153" t="str">
        <f>'PLANILHA ORÇAMENTÁRIA'!C342</f>
        <v>PMA ELE 043</v>
      </c>
      <c r="D342" s="24" t="str">
        <f>'PLANILHA ORÇAMENTÁRIA'!D342</f>
        <v>NOBREAK TRIFASICO, DE 10 KVA FATOR DE POTENCIA DE 0,8, AUTONOMIA DE 01 HORA A PLENA CARGA - FORNECIMENTO E INSTALAÇÃO</v>
      </c>
      <c r="E342" s="446" t="s">
        <v>1423</v>
      </c>
      <c r="F342" s="446"/>
      <c r="G342" s="446"/>
      <c r="H342" s="446"/>
      <c r="I342" s="48">
        <v>1</v>
      </c>
      <c r="J342" s="48" t="s">
        <v>309</v>
      </c>
    </row>
    <row r="343" spans="2:13" ht="38.25" x14ac:dyDescent="0.25">
      <c r="B343" s="263" t="str">
        <f>'PLANILHA ORÇAMENTÁRIA'!B343</f>
        <v>13.117</v>
      </c>
      <c r="C343" s="153" t="str">
        <f>'PLANILHA ORÇAMENTÁRIA'!C343</f>
        <v>PMA ELE 049</v>
      </c>
      <c r="D343" s="24" t="str">
        <f>'PLANILHA ORÇAMENTÁRIA'!D343</f>
        <v>MURETA EM ALVENARIA  (C x A x L = 1,5 x 2 x 0,50m) PARA INSTALAÇÃO DA CAIXA MEDIDORA  DE ENERGIA =&gt; (2X E=14CM + 2X E=9CM )</v>
      </c>
      <c r="E343" s="446" t="s">
        <v>1423</v>
      </c>
      <c r="F343" s="446"/>
      <c r="G343" s="446"/>
      <c r="H343" s="446"/>
      <c r="I343" s="48">
        <v>1</v>
      </c>
      <c r="J343" s="48" t="s">
        <v>309</v>
      </c>
    </row>
    <row r="344" spans="2:13" ht="25.5" x14ac:dyDescent="0.25">
      <c r="B344" s="263" t="str">
        <f>'PLANILHA ORÇAMENTÁRIA'!B344</f>
        <v>13.118</v>
      </c>
      <c r="C344" s="153" t="str">
        <f>'PLANILHA ORÇAMENTÁRIA'!C344</f>
        <v>PMA ELE 050</v>
      </c>
      <c r="D344" s="24" t="str">
        <f>'PLANILHA ORÇAMENTÁRIA'!D344</f>
        <v>POSTE AUXILIAR DE ENERGIA, TRIFÁSICO, COMPLETO COM FERRAGENS E ACESSÓRIOS</v>
      </c>
      <c r="E344" s="446" t="s">
        <v>1423</v>
      </c>
      <c r="F344" s="446"/>
      <c r="G344" s="446"/>
      <c r="H344" s="446"/>
      <c r="I344" s="48">
        <v>1</v>
      </c>
      <c r="J344" s="48" t="s">
        <v>309</v>
      </c>
    </row>
    <row r="345" spans="2:13" x14ac:dyDescent="0.25">
      <c r="B345" s="448"/>
      <c r="C345" s="448"/>
      <c r="D345" s="448"/>
      <c r="E345" s="448"/>
      <c r="F345" s="448"/>
      <c r="G345" s="448"/>
      <c r="H345" s="448"/>
      <c r="I345" s="448"/>
      <c r="J345" s="448"/>
    </row>
    <row r="346" spans="2:13" x14ac:dyDescent="0.25">
      <c r="B346" s="449" t="s">
        <v>72</v>
      </c>
      <c r="C346" s="449"/>
      <c r="D346" s="450" t="str">
        <f>'PLANILHA ORÇAMENTÁRIA'!D346</f>
        <v>REDE DE GASES</v>
      </c>
      <c r="E346" s="450"/>
      <c r="F346" s="450"/>
      <c r="G346" s="450"/>
      <c r="H346" s="450"/>
      <c r="I346" s="450"/>
      <c r="J346" s="450"/>
    </row>
    <row r="347" spans="2:13" ht="25.5" x14ac:dyDescent="0.25">
      <c r="B347" s="48" t="str">
        <f>'PLANILHA ORÇAMENTÁRIA'!B347</f>
        <v>14.1</v>
      </c>
      <c r="C347" s="48" t="str">
        <f>'PLANILHA ORÇAMENTÁRIA'!C347</f>
        <v>PMA HID 020</v>
      </c>
      <c r="D347" s="35" t="str">
        <f>'PLANILHA ORÇAMENTÁRIA'!D347</f>
        <v xml:space="preserve">FORNECIMENTO E INSTALAÇÃO DE PAINEL DE ALARME DE PRESSÃO DE GASES - OXIGÊNIO, AR COMPRIMIDO E VÁCUO </v>
      </c>
      <c r="E347" s="445" t="s">
        <v>1417</v>
      </c>
      <c r="F347" s="445"/>
      <c r="G347" s="445"/>
      <c r="H347" s="445"/>
      <c r="I347" s="33">
        <v>6</v>
      </c>
      <c r="J347" s="33" t="str">
        <f>'PLANILHA ORÇAMENTÁRIA'!E347</f>
        <v>UN</v>
      </c>
    </row>
    <row r="348" spans="2:13" x14ac:dyDescent="0.25">
      <c r="B348" s="447" t="s">
        <v>698</v>
      </c>
      <c r="C348" s="447"/>
      <c r="D348" s="447"/>
      <c r="E348" s="447"/>
      <c r="F348" s="447"/>
      <c r="G348" s="447"/>
      <c r="H348" s="447"/>
      <c r="I348" s="447"/>
      <c r="J348" s="447"/>
    </row>
    <row r="349" spans="2:13" ht="51" x14ac:dyDescent="0.25">
      <c r="B349" s="48" t="str">
        <f>'PLANILHA ORÇAMENTÁRIA'!B349</f>
        <v>14.2</v>
      </c>
      <c r="C349" s="48">
        <f>'PLANILHA ORÇAMENTÁRIA'!C349</f>
        <v>103836</v>
      </c>
      <c r="D349" s="35" t="str">
        <f>'PLANILHA ORÇAMENTÁRIA'!D349</f>
        <v>TUBO EM COBRE RÍGIDO, DN 22 MM, CLASSE A, SEM ISOLAMENTO, INSTALADO EM RAMAL E SUB-RAMAL DE GÁS MEDICINAL - FORNECIMENTO E INSTALAÇÃO. AF_04/2022</v>
      </c>
      <c r="E349" s="445" t="s">
        <v>1417</v>
      </c>
      <c r="F349" s="445"/>
      <c r="G349" s="445"/>
      <c r="H349" s="445"/>
      <c r="I349" s="33">
        <v>16</v>
      </c>
      <c r="J349" s="33" t="str">
        <f>'PLANILHA ORÇAMENTÁRIA'!E349</f>
        <v>M</v>
      </c>
    </row>
    <row r="350" spans="2:13" ht="51" x14ac:dyDescent="0.25">
      <c r="B350" s="48" t="str">
        <f>'PLANILHA ORÇAMENTÁRIA'!B350</f>
        <v>14.3</v>
      </c>
      <c r="C350" s="48">
        <f>'PLANILHA ORÇAMENTÁRIA'!C350</f>
        <v>103835</v>
      </c>
      <c r="D350" s="35" t="str">
        <f>'PLANILHA ORÇAMENTÁRIA'!D350</f>
        <v>TUBO EM COBRE RÍGIDO, DN 15 MM, CLASSE A, SEM ISOLAMENTO, INSTALADO EM RAMAL E SUB-RAMAL DE GÁS MEDICINAL - FORNECIMENTO E INSTALAÇÃO. AF_04/2022</v>
      </c>
      <c r="E350" s="445" t="s">
        <v>1417</v>
      </c>
      <c r="F350" s="445"/>
      <c r="G350" s="445"/>
      <c r="H350" s="445"/>
      <c r="I350" s="33">
        <v>121.8</v>
      </c>
      <c r="J350" s="33" t="str">
        <f>'PLANILHA ORÇAMENTÁRIA'!E350</f>
        <v>M</v>
      </c>
      <c r="L350"/>
      <c r="M350"/>
    </row>
    <row r="351" spans="2:13" ht="38.25" x14ac:dyDescent="0.25">
      <c r="B351" s="48" t="str">
        <f>'PLANILHA ORÇAMENTÁRIA'!B351</f>
        <v>14.4</v>
      </c>
      <c r="C351" s="48">
        <f>'PLANILHA ORÇAMENTÁRIA'!C351</f>
        <v>103866</v>
      </c>
      <c r="D351" s="35" t="str">
        <f>'PLANILHA ORÇAMENTÁRIA'!D351</f>
        <v>TÊ EM COBRE, DN 22 MM, SEM ANEL DE SOLDA, INSTALADO EM RAMAL E SUB-RAMAL DE GÁS MEDICINAL - FORNECIMENTO E INSTALAÇÃO. AF_04/2022</v>
      </c>
      <c r="E351" s="445" t="s">
        <v>1417</v>
      </c>
      <c r="F351" s="445"/>
      <c r="G351" s="445"/>
      <c r="H351" s="445"/>
      <c r="I351" s="33">
        <v>4</v>
      </c>
      <c r="J351" s="33" t="str">
        <f>'PLANILHA ORÇAMENTÁRIA'!E351</f>
        <v>UN</v>
      </c>
      <c r="L351"/>
      <c r="M351"/>
    </row>
    <row r="352" spans="2:13" ht="38.25" x14ac:dyDescent="0.25">
      <c r="B352" s="48" t="str">
        <f>'PLANILHA ORÇAMENTÁRIA'!B352</f>
        <v>14.5</v>
      </c>
      <c r="C352" s="48">
        <f>'PLANILHA ORÇAMENTÁRIA'!C352</f>
        <v>103865</v>
      </c>
      <c r="D352" s="35" t="str">
        <f>'PLANILHA ORÇAMENTÁRIA'!D352</f>
        <v>TÊ EM COBRE, DN 15 MM, SEM ANEL DE SOLDA, INSTALADO EM RAMAL E SUB-RAMAL DE GÁS MEDICINAL - FORNECIMENTO E INSTALAÇÃO. AF_04/2022</v>
      </c>
      <c r="E352" s="445" t="s">
        <v>1417</v>
      </c>
      <c r="F352" s="445"/>
      <c r="G352" s="445"/>
      <c r="H352" s="445"/>
      <c r="I352" s="33">
        <v>10</v>
      </c>
      <c r="J352" s="33" t="str">
        <f>'PLANILHA ORÇAMENTÁRIA'!E352</f>
        <v>UN</v>
      </c>
      <c r="L352"/>
      <c r="M352"/>
    </row>
    <row r="353" spans="2:13" ht="38.25" x14ac:dyDescent="0.25">
      <c r="B353" s="48" t="str">
        <f>'PLANILHA ORÇAMENTÁRIA'!B353</f>
        <v>14.6</v>
      </c>
      <c r="C353" s="48">
        <f>'PLANILHA ORÇAMENTÁRIA'!C353</f>
        <v>103841</v>
      </c>
      <c r="D353" s="35" t="str">
        <f>'PLANILHA ORÇAMENTÁRIA'!D353</f>
        <v>COTOVELO EM COBRE, DN 22 MM, 90 GRAUS, SEM ANEL DE SOLDA, INSTALADO EM RAMAL E SUB-RAMAL DE GÁS MEDICINAL - FORNECIMENTO E INSTALAÇÃO. AF_04/2022</v>
      </c>
      <c r="E353" s="445" t="s">
        <v>1417</v>
      </c>
      <c r="F353" s="445"/>
      <c r="G353" s="445"/>
      <c r="H353" s="445"/>
      <c r="I353" s="33">
        <v>4</v>
      </c>
      <c r="J353" s="33" t="str">
        <f>'PLANILHA ORÇAMENTÁRIA'!E353</f>
        <v>UN</v>
      </c>
      <c r="L353"/>
      <c r="M353"/>
    </row>
    <row r="354" spans="2:13" ht="51" x14ac:dyDescent="0.25">
      <c r="B354" s="48" t="str">
        <f>'PLANILHA ORÇAMENTÁRIA'!B354</f>
        <v>14.7</v>
      </c>
      <c r="C354" s="48">
        <f>'PLANILHA ORÇAMENTÁRIA'!C354</f>
        <v>103856</v>
      </c>
      <c r="D354" s="35" t="str">
        <f>'PLANILHA ORÇAMENTÁRIA'!D354</f>
        <v>BUCHA DE REDUÇÃO EM COBRE, DN 22 MM X 15 MM, SEM ANEL DE SOLDA, PONTA X BOLSA, INSTALADO EM RAMAL E SUB-RAMAL DE GÁS MEDICINAL - FORNECIMENTO E INSTALAÇÃO. AF_04/2022</v>
      </c>
      <c r="E354" s="445" t="s">
        <v>1417</v>
      </c>
      <c r="F354" s="445"/>
      <c r="G354" s="445"/>
      <c r="H354" s="445"/>
      <c r="I354" s="33">
        <v>2</v>
      </c>
      <c r="J354" s="33" t="str">
        <f>'PLANILHA ORÇAMENTÁRIA'!E354</f>
        <v>UN</v>
      </c>
      <c r="L354"/>
      <c r="M354"/>
    </row>
    <row r="355" spans="2:13" ht="38.25" x14ac:dyDescent="0.25">
      <c r="B355" s="48" t="str">
        <f>'PLANILHA ORÇAMENTÁRIA'!B355</f>
        <v>14.8</v>
      </c>
      <c r="C355" s="48">
        <f>'PLANILHA ORÇAMENTÁRIA'!C355</f>
        <v>103838</v>
      </c>
      <c r="D355" s="35" t="str">
        <f>'PLANILHA ORÇAMENTÁRIA'!D355</f>
        <v>COTOVELO EM COBRE, DN 15 MM, 90 GRAUS, SEM ANEL DE SOLDA, INSTALADO EM RAMAL E SUB-RAMAL DE GÁS MEDICINAL - FORNECIMENTO E INSTALAÇÃO. AF_04/2022</v>
      </c>
      <c r="E355" s="445" t="s">
        <v>1417</v>
      </c>
      <c r="F355" s="445"/>
      <c r="G355" s="445"/>
      <c r="H355" s="445"/>
      <c r="I355" s="33">
        <v>43</v>
      </c>
      <c r="J355" s="33" t="str">
        <f>'PLANILHA ORÇAMENTÁRIA'!E355</f>
        <v>UN</v>
      </c>
      <c r="L355"/>
      <c r="M355"/>
    </row>
    <row r="356" spans="2:13" ht="25.5" x14ac:dyDescent="0.25">
      <c r="B356" s="48" t="str">
        <f>'PLANILHA ORÇAMENTÁRIA'!B356</f>
        <v>14.9</v>
      </c>
      <c r="C356" s="48">
        <f>'PLANILHA ORÇAMENTÁRIA'!C356</f>
        <v>95249</v>
      </c>
      <c r="D356" s="35" t="str">
        <f>'PLANILHA ORÇAMENTÁRIA'!D356</f>
        <v>VÁLVULA DE ESFERA BRUTA, BRONZE, ROSCÁVEL, 3/4'' - FORNECIMENTO E INSTALAÇÃO. AF_08/2021</v>
      </c>
      <c r="E356" s="445" t="s">
        <v>1417</v>
      </c>
      <c r="F356" s="445"/>
      <c r="G356" s="445"/>
      <c r="H356" s="445"/>
      <c r="I356" s="33">
        <v>6</v>
      </c>
      <c r="J356" s="33" t="str">
        <f>'PLANILHA ORÇAMENTÁRIA'!E356</f>
        <v>UN</v>
      </c>
      <c r="L356"/>
      <c r="M356"/>
    </row>
    <row r="357" spans="2:13" x14ac:dyDescent="0.25">
      <c r="B357" s="447" t="s">
        <v>697</v>
      </c>
      <c r="C357" s="447"/>
      <c r="D357" s="447"/>
      <c r="E357" s="447"/>
      <c r="F357" s="447"/>
      <c r="G357" s="447"/>
      <c r="H357" s="447"/>
      <c r="I357" s="447"/>
      <c r="J357" s="447"/>
    </row>
    <row r="358" spans="2:13" ht="51" x14ac:dyDescent="0.25">
      <c r="B358" s="48" t="str">
        <f>'PLANILHA ORÇAMENTÁRIA'!B358</f>
        <v>14.10</v>
      </c>
      <c r="C358" s="48">
        <f>'PLANILHA ORÇAMENTÁRIA'!C358</f>
        <v>103836</v>
      </c>
      <c r="D358" s="35" t="str">
        <f>'PLANILHA ORÇAMENTÁRIA'!D358</f>
        <v>TUBO EM COBRE RÍGIDO, DN 22 MM, CLASSE A, SEM ISOLAMENTO, INSTALADO EM RAMAL E SUB-RAMAL DE GÁS MEDICINAL - FORNECIMENTO E INSTALAÇÃO. AF_04/2022</v>
      </c>
      <c r="E358" s="445" t="s">
        <v>1417</v>
      </c>
      <c r="F358" s="445"/>
      <c r="G358" s="445"/>
      <c r="H358" s="445"/>
      <c r="I358" s="210">
        <v>16</v>
      </c>
      <c r="J358" s="33" t="str">
        <f>'PLANILHA ORÇAMENTÁRIA'!E358</f>
        <v>M</v>
      </c>
    </row>
    <row r="359" spans="2:13" ht="51" x14ac:dyDescent="0.25">
      <c r="B359" s="48" t="str">
        <f>'PLANILHA ORÇAMENTÁRIA'!B359</f>
        <v>14.11</v>
      </c>
      <c r="C359" s="48">
        <f>'PLANILHA ORÇAMENTÁRIA'!C359</f>
        <v>103835</v>
      </c>
      <c r="D359" s="35" t="str">
        <f>'PLANILHA ORÇAMENTÁRIA'!D359</f>
        <v>TUBO EM COBRE RÍGIDO, DN 15 MM, CLASSE A, SEM ISOLAMENTO, INSTALADO EM RAMAL E SUB-RAMAL DE GÁS MEDICINAL - FORNECIMENTO E INSTALAÇÃO. AF_04/2022</v>
      </c>
      <c r="E359" s="445" t="s">
        <v>1417</v>
      </c>
      <c r="F359" s="445"/>
      <c r="G359" s="445"/>
      <c r="H359" s="445"/>
      <c r="I359" s="210">
        <v>109</v>
      </c>
      <c r="J359" s="33" t="str">
        <f>'PLANILHA ORÇAMENTÁRIA'!E359</f>
        <v>M</v>
      </c>
    </row>
    <row r="360" spans="2:13" ht="38.25" x14ac:dyDescent="0.25">
      <c r="B360" s="48" t="str">
        <f>'PLANILHA ORÇAMENTÁRIA'!B360</f>
        <v>14.12</v>
      </c>
      <c r="C360" s="48">
        <f>'PLANILHA ORÇAMENTÁRIA'!C360</f>
        <v>103841</v>
      </c>
      <c r="D360" s="35" t="str">
        <f>'PLANILHA ORÇAMENTÁRIA'!D360</f>
        <v>COTOVELO EM COBRE, DN 22 MM, 90 GRAUS, SEM ANEL DE SOLDA, INSTALADO EM RAMAL E SUB-RAMAL DE GÁS MEDICINAL - FORNECIMENTO E INSTALAÇÃO. AF_04/2022</v>
      </c>
      <c r="E360" s="445" t="s">
        <v>1417</v>
      </c>
      <c r="F360" s="445"/>
      <c r="G360" s="445"/>
      <c r="H360" s="445"/>
      <c r="I360" s="210">
        <v>4</v>
      </c>
      <c r="J360" s="33" t="str">
        <f>'PLANILHA ORÇAMENTÁRIA'!E360</f>
        <v>UN</v>
      </c>
    </row>
    <row r="361" spans="2:13" ht="38.25" x14ac:dyDescent="0.25">
      <c r="B361" s="48" t="str">
        <f>'PLANILHA ORÇAMENTÁRIA'!B361</f>
        <v>14.13</v>
      </c>
      <c r="C361" s="48">
        <f>'PLANILHA ORÇAMENTÁRIA'!C361</f>
        <v>103866</v>
      </c>
      <c r="D361" s="35" t="str">
        <f>'PLANILHA ORÇAMENTÁRIA'!D361</f>
        <v>TÊ EM COBRE, DN 22 MM, SEM ANEL DE SOLDA, INSTALADO EM RAMAL E SUB-RAMAL DE GÁS MEDICINAL - FORNECIMENTO E INSTALAÇÃO. AF_04/2022</v>
      </c>
      <c r="E361" s="445" t="s">
        <v>1417</v>
      </c>
      <c r="F361" s="445"/>
      <c r="G361" s="445"/>
      <c r="H361" s="445"/>
      <c r="I361" s="210">
        <v>4</v>
      </c>
      <c r="J361" s="33" t="str">
        <f>'PLANILHA ORÇAMENTÁRIA'!E361</f>
        <v>UN</v>
      </c>
    </row>
    <row r="362" spans="2:13" ht="38.25" x14ac:dyDescent="0.25">
      <c r="B362" s="48" t="str">
        <f>'PLANILHA ORÇAMENTÁRIA'!B362</f>
        <v>14.14</v>
      </c>
      <c r="C362" s="48">
        <f>'PLANILHA ORÇAMENTÁRIA'!C362</f>
        <v>103865</v>
      </c>
      <c r="D362" s="35" t="str">
        <f>'PLANILHA ORÇAMENTÁRIA'!D362</f>
        <v>TÊ EM COBRE, DN 15 MM, SEM ANEL DE SOLDA, INSTALADO EM RAMAL E SUB-RAMAL DE GÁS MEDICINAL - FORNECIMENTO E INSTALAÇÃO. AF_04/2022</v>
      </c>
      <c r="E362" s="445" t="s">
        <v>1417</v>
      </c>
      <c r="F362" s="445"/>
      <c r="G362" s="445"/>
      <c r="H362" s="445"/>
      <c r="I362" s="210">
        <v>10</v>
      </c>
      <c r="J362" s="33" t="str">
        <f>'PLANILHA ORÇAMENTÁRIA'!E362</f>
        <v>UN</v>
      </c>
    </row>
    <row r="363" spans="2:13" s="8" customFormat="1" ht="51" x14ac:dyDescent="0.2">
      <c r="B363" s="48" t="str">
        <f>'PLANILHA ORÇAMENTÁRIA'!B363</f>
        <v>14.15</v>
      </c>
      <c r="C363" s="48">
        <f>'PLANILHA ORÇAMENTÁRIA'!C363</f>
        <v>103856</v>
      </c>
      <c r="D363" s="35" t="str">
        <f>'PLANILHA ORÇAMENTÁRIA'!D363</f>
        <v>BUCHA DE REDUÇÃO EM COBRE, DN 22 MM X 15 MM, SEM ANEL DE SOLDA, PONTA X BOLSA, INSTALADO EM RAMAL E SUB-RAMAL DE GÁS MEDICINAL - FORNECIMENTO E INSTALAÇÃO. AF_04/2022</v>
      </c>
      <c r="E363" s="445" t="s">
        <v>1417</v>
      </c>
      <c r="F363" s="445"/>
      <c r="G363" s="445"/>
      <c r="H363" s="445"/>
      <c r="I363" s="210">
        <v>2</v>
      </c>
      <c r="J363" s="33" t="str">
        <f>'PLANILHA ORÇAMENTÁRIA'!E363</f>
        <v>UN</v>
      </c>
      <c r="K363" s="7"/>
    </row>
    <row r="364" spans="2:13" s="8" customFormat="1" ht="38.25" x14ac:dyDescent="0.2">
      <c r="B364" s="48" t="str">
        <f>'PLANILHA ORÇAMENTÁRIA'!B364</f>
        <v>14.16</v>
      </c>
      <c r="C364" s="48">
        <f>'PLANILHA ORÇAMENTÁRIA'!C364</f>
        <v>103838</v>
      </c>
      <c r="D364" s="35" t="str">
        <f>'PLANILHA ORÇAMENTÁRIA'!D364</f>
        <v>COTOVELO EM COBRE, DN 15 MM, 90 GRAUS, SEM ANEL DE SOLDA, INSTALADO EM RAMAL E SUB-RAMAL DE GÁS MEDICINAL - FORNECIMENTO E INSTALAÇÃO. AF_04/2022</v>
      </c>
      <c r="E364" s="445" t="s">
        <v>1417</v>
      </c>
      <c r="F364" s="445"/>
      <c r="G364" s="445"/>
      <c r="H364" s="445"/>
      <c r="I364" s="210">
        <v>42</v>
      </c>
      <c r="J364" s="33" t="str">
        <f>'PLANILHA ORÇAMENTÁRIA'!E364</f>
        <v>UN</v>
      </c>
      <c r="K364" s="7"/>
    </row>
    <row r="365" spans="2:13" ht="25.5" x14ac:dyDescent="0.25">
      <c r="B365" s="48" t="str">
        <f>'PLANILHA ORÇAMENTÁRIA'!B365</f>
        <v>14.17</v>
      </c>
      <c r="C365" s="48">
        <f>'PLANILHA ORÇAMENTÁRIA'!C365</f>
        <v>95249</v>
      </c>
      <c r="D365" s="35" t="str">
        <f>'PLANILHA ORÇAMENTÁRIA'!D365</f>
        <v>VÁLVULA DE ESFERA BRUTA, BRONZE, ROSCÁVEL, 3/4'' - FORNECIMENTO E INSTALAÇÃO. AF_08/2021</v>
      </c>
      <c r="E365" s="445" t="s">
        <v>1417</v>
      </c>
      <c r="F365" s="445"/>
      <c r="G365" s="445"/>
      <c r="H365" s="445"/>
      <c r="I365" s="210">
        <v>8</v>
      </c>
      <c r="J365" s="33" t="str">
        <f>'PLANILHA ORÇAMENTÁRIA'!E365</f>
        <v>UN</v>
      </c>
      <c r="L365" s="172">
        <f>37.72+9.55+19.16+(4.04*2)</f>
        <v>74.510000000000005</v>
      </c>
    </row>
    <row r="366" spans="2:13" x14ac:dyDescent="0.25">
      <c r="B366" s="447" t="s">
        <v>696</v>
      </c>
      <c r="C366" s="447"/>
      <c r="D366" s="447"/>
      <c r="E366" s="447"/>
      <c r="F366" s="447"/>
      <c r="G366" s="447"/>
      <c r="H366" s="447"/>
      <c r="I366" s="447"/>
      <c r="J366" s="447"/>
    </row>
    <row r="367" spans="2:13" ht="25.5" x14ac:dyDescent="0.25">
      <c r="B367" s="48" t="str">
        <f>'PLANILHA ORÇAMENTÁRIA'!B367</f>
        <v>14.18</v>
      </c>
      <c r="C367" s="48">
        <f>'PLANILHA ORÇAMENTÁRIA'!C367</f>
        <v>95249</v>
      </c>
      <c r="D367" s="35" t="str">
        <f>'PLANILHA ORÇAMENTÁRIA'!D367</f>
        <v>VÁLVULA DE ESFERA BRUTA, BRONZE, ROSCÁVEL, 3/4'' - FORNECIMENTO E INSTALAÇÃO. AF_08/2021</v>
      </c>
      <c r="E367" s="445" t="s">
        <v>1417</v>
      </c>
      <c r="F367" s="445"/>
      <c r="G367" s="445"/>
      <c r="H367" s="445"/>
      <c r="I367" s="33">
        <v>2</v>
      </c>
      <c r="J367" s="33" t="str">
        <f>'PLANILHA ORÇAMENTÁRIA'!E367</f>
        <v>UN</v>
      </c>
    </row>
    <row r="368" spans="2:13" ht="51" x14ac:dyDescent="0.25">
      <c r="B368" s="48" t="str">
        <f>'PLANILHA ORÇAMENTÁRIA'!B368</f>
        <v>14.19</v>
      </c>
      <c r="C368" s="48">
        <f>'PLANILHA ORÇAMENTÁRIA'!C368</f>
        <v>103835</v>
      </c>
      <c r="D368" s="35" t="str">
        <f>'PLANILHA ORÇAMENTÁRIA'!D368</f>
        <v>TUBO EM COBRE RÍGIDO, DN 15 MM, CLASSE A, SEM ISOLAMENTO, INSTALADO EM RAMAL E SUB-RAMAL DE GÁS MEDICINAL - FORNECIMENTO E INSTALAÇÃO. AF_04/2022</v>
      </c>
      <c r="E368" s="445" t="s">
        <v>1417</v>
      </c>
      <c r="F368" s="445"/>
      <c r="G368" s="445"/>
      <c r="H368" s="445"/>
      <c r="I368" s="33">
        <v>6</v>
      </c>
      <c r="J368" s="33" t="str">
        <f>'PLANILHA ORÇAMENTÁRIA'!E368</f>
        <v>M</v>
      </c>
    </row>
    <row r="369" spans="2:10" ht="38.25" x14ac:dyDescent="0.25">
      <c r="B369" s="48" t="str">
        <f>'PLANILHA ORÇAMENTÁRIA'!B369</f>
        <v>14.20</v>
      </c>
      <c r="C369" s="48">
        <f>'PLANILHA ORÇAMENTÁRIA'!C369</f>
        <v>103838</v>
      </c>
      <c r="D369" s="35" t="str">
        <f>'PLANILHA ORÇAMENTÁRIA'!D369</f>
        <v>COTOVELO EM COBRE, DN 15 MM, 90 GRAUS, SEM ANEL DE SOLDA, INSTALADO EM RAMAL E SUB-RAMAL DE GÁS MEDICINAL - FORNECIMENTO E INSTALAÇÃO. AF_04/2022</v>
      </c>
      <c r="E369" s="445" t="s">
        <v>1417</v>
      </c>
      <c r="F369" s="445"/>
      <c r="G369" s="445"/>
      <c r="H369" s="445"/>
      <c r="I369" s="33">
        <v>4</v>
      </c>
      <c r="J369" s="33" t="str">
        <f>'PLANILHA ORÇAMENTÁRIA'!E369</f>
        <v>UN</v>
      </c>
    </row>
    <row r="370" spans="2:10" x14ac:dyDescent="0.25">
      <c r="B370" s="447" t="s">
        <v>699</v>
      </c>
      <c r="C370" s="447"/>
      <c r="D370" s="447"/>
      <c r="E370" s="447"/>
      <c r="F370" s="447"/>
      <c r="G370" s="447"/>
      <c r="H370" s="447"/>
      <c r="I370" s="447"/>
      <c r="J370" s="447"/>
    </row>
    <row r="371" spans="2:10" ht="51" x14ac:dyDescent="0.25">
      <c r="B371" s="48" t="str">
        <f>'PLANILHA ORÇAMENTÁRIA'!B371</f>
        <v>14.21</v>
      </c>
      <c r="C371" s="48">
        <f>'PLANILHA ORÇAMENTÁRIA'!C371</f>
        <v>103835</v>
      </c>
      <c r="D371" s="35" t="str">
        <f>'PLANILHA ORÇAMENTÁRIA'!D371</f>
        <v>TUBO EM COBRE RÍGIDO, DN 15 MM, CLASSE A, SEM ISOLAMENTO, INSTALADO EM RAMAL E SUB-RAMAL DE GÁS MEDICINAL - FORNECIMENTO E INSTALAÇÃO. AF_04/2022</v>
      </c>
      <c r="E371" s="445" t="s">
        <v>1418</v>
      </c>
      <c r="F371" s="445"/>
      <c r="G371" s="445"/>
      <c r="H371" s="445"/>
      <c r="I371" s="33">
        <v>15</v>
      </c>
      <c r="J371" s="33" t="str">
        <f>'PLANILHA ORÇAMENTÁRIA'!E371</f>
        <v>M</v>
      </c>
    </row>
    <row r="372" spans="2:10" ht="38.25" x14ac:dyDescent="0.25">
      <c r="B372" s="48" t="str">
        <f>'PLANILHA ORÇAMENTÁRIA'!B372</f>
        <v>14.22</v>
      </c>
      <c r="C372" s="48">
        <f>'PLANILHA ORÇAMENTÁRIA'!C372</f>
        <v>103838</v>
      </c>
      <c r="D372" s="35" t="str">
        <f>'PLANILHA ORÇAMENTÁRIA'!D372</f>
        <v>COTOVELO EM COBRE, DN 15 MM, 90 GRAUS, SEM ANEL DE SOLDA, INSTALADO EM RAMAL E SUB-RAMAL DE GÁS MEDICINAL - FORNECIMENTO E INSTALAÇÃO. AF_04/2022</v>
      </c>
      <c r="E372" s="445" t="s">
        <v>1418</v>
      </c>
      <c r="F372" s="445"/>
      <c r="G372" s="445"/>
      <c r="H372" s="445"/>
      <c r="I372" s="33">
        <v>6</v>
      </c>
      <c r="J372" s="33" t="str">
        <f>'PLANILHA ORÇAMENTÁRIA'!E372</f>
        <v>UN</v>
      </c>
    </row>
    <row r="373" spans="2:10" ht="25.5" x14ac:dyDescent="0.25">
      <c r="B373" s="48" t="str">
        <f>'PLANILHA ORÇAMENTÁRIA'!B373</f>
        <v>14.23</v>
      </c>
      <c r="C373" s="48">
        <f>'PLANILHA ORÇAMENTÁRIA'!C373</f>
        <v>95249</v>
      </c>
      <c r="D373" s="35" t="str">
        <f>'PLANILHA ORÇAMENTÁRIA'!D373</f>
        <v>VÁLVULA DE ESFERA BRUTA, BRONZE, ROSCÁVEL, 3/4'' - FORNECIMENTO E INSTALAÇÃO. AF_08/2021</v>
      </c>
      <c r="E373" s="445" t="s">
        <v>1418</v>
      </c>
      <c r="F373" s="445"/>
      <c r="G373" s="445"/>
      <c r="H373" s="445"/>
      <c r="I373" s="33">
        <v>2</v>
      </c>
      <c r="J373" s="33" t="str">
        <f>'PLANILHA ORÇAMENTÁRIA'!E373</f>
        <v>UN</v>
      </c>
    </row>
    <row r="374" spans="2:10" ht="25.5" x14ac:dyDescent="0.25">
      <c r="B374" s="48" t="str">
        <f>'PLANILHA ORÇAMENTÁRIA'!B374</f>
        <v>14.24</v>
      </c>
      <c r="C374" s="48">
        <f>'PLANILHA ORÇAMENTÁRIA'!C374</f>
        <v>90444</v>
      </c>
      <c r="D374" s="35" t="str">
        <f>'PLANILHA ORÇAMENTÁRIA'!D374</f>
        <v>RASGO EM CONTRAPISO PARA RAMAIS/ DISTRIBUIÇÃO COM DIÂMETROS MENORES OU IGUAIS A 40 MM. AF_05/2015</v>
      </c>
      <c r="E374" s="445" t="s">
        <v>1418</v>
      </c>
      <c r="F374" s="445"/>
      <c r="G374" s="445"/>
      <c r="H374" s="445"/>
      <c r="I374" s="33">
        <v>11.3</v>
      </c>
      <c r="J374" s="33" t="str">
        <f>'PLANILHA ORÇAMENTÁRIA'!E374</f>
        <v>M</v>
      </c>
    </row>
    <row r="375" spans="2:10" ht="38.25" x14ac:dyDescent="0.25">
      <c r="B375" s="48" t="str">
        <f>'PLANILHA ORÇAMENTÁRIA'!B375</f>
        <v>14.25</v>
      </c>
      <c r="C375" s="48">
        <f>'PLANILHA ORÇAMENTÁRIA'!C375</f>
        <v>90468</v>
      </c>
      <c r="D375" s="35" t="str">
        <f>'PLANILHA ORÇAMENTÁRIA'!D375</f>
        <v>CHUMBAMENTO LINEAR EM CONTRAPISO PARA RAMAIS/DISTRIBUIÇÃO COM DIÂMETROS MENORES OU IGUAIS A 40 MM. AF_05/2015</v>
      </c>
      <c r="E375" s="445" t="s">
        <v>1418</v>
      </c>
      <c r="F375" s="445"/>
      <c r="G375" s="445"/>
      <c r="H375" s="445"/>
      <c r="I375" s="33">
        <v>11.3</v>
      </c>
      <c r="J375" s="33" t="str">
        <f>'PLANILHA ORÇAMENTÁRIA'!E375</f>
        <v>M</v>
      </c>
    </row>
    <row r="376" spans="2:10" x14ac:dyDescent="0.25">
      <c r="B376" s="448"/>
      <c r="C376" s="448"/>
      <c r="D376" s="448"/>
      <c r="E376" s="448"/>
      <c r="F376" s="448"/>
      <c r="G376" s="448"/>
      <c r="H376" s="448"/>
      <c r="I376" s="448"/>
      <c r="J376" s="448"/>
    </row>
    <row r="377" spans="2:10" x14ac:dyDescent="0.25">
      <c r="B377" s="449" t="s">
        <v>173</v>
      </c>
      <c r="C377" s="449"/>
      <c r="D377" s="450" t="s">
        <v>1470</v>
      </c>
      <c r="E377" s="450"/>
      <c r="F377" s="450"/>
      <c r="G377" s="450"/>
      <c r="H377" s="450"/>
      <c r="I377" s="450"/>
      <c r="J377" s="450"/>
    </row>
    <row r="378" spans="2:10" ht="25.5" x14ac:dyDescent="0.25">
      <c r="B378" s="48" t="str">
        <f>'PLANILHA ORÇAMENTÁRIA'!B378</f>
        <v>15.1</v>
      </c>
      <c r="C378" s="48" t="str">
        <f>'PLANILHA ORÇAMENTÁRIA'!C378</f>
        <v>PMA CIV 005</v>
      </c>
      <c r="D378" s="35" t="str">
        <f>'PLANILHA ORÇAMENTÁRIA'!D378</f>
        <v>CAIXA DE PASSAGEM PARA TELEFONE 20X20X10CM (SOBREPOR), FORNECIMENTO E INSTALACAO. AF_11/2019</v>
      </c>
      <c r="E378" s="445" t="s">
        <v>1472</v>
      </c>
      <c r="F378" s="445"/>
      <c r="G378" s="445"/>
      <c r="H378" s="445"/>
      <c r="I378" s="33">
        <v>3</v>
      </c>
      <c r="J378" s="33" t="str">
        <f>'PLANILHA ORÇAMENTÁRIA'!E378</f>
        <v>UN</v>
      </c>
    </row>
    <row r="379" spans="2:10" ht="25.5" x14ac:dyDescent="0.25">
      <c r="B379" s="48" t="str">
        <f>'PLANILHA ORÇAMENTÁRIA'!B379</f>
        <v>15.2</v>
      </c>
      <c r="C379" s="48">
        <f>'PLANILHA ORÇAMENTÁRIA'!C379</f>
        <v>100556</v>
      </c>
      <c r="D379" s="35" t="str">
        <f>'PLANILHA ORÇAMENTÁRIA'!D379</f>
        <v>CAIXA DE PASSAGEM PARA TELEFONE 15X15X10CM (SOBREPOR), FORNECIMENTO E INSTALACAO. AF_11/2019</v>
      </c>
      <c r="E379" s="445" t="s">
        <v>1472</v>
      </c>
      <c r="F379" s="445"/>
      <c r="G379" s="445"/>
      <c r="H379" s="445"/>
      <c r="I379" s="33">
        <v>2</v>
      </c>
      <c r="J379" s="33" t="str">
        <f>'PLANILHA ORÇAMENTÁRIA'!E379</f>
        <v>UN</v>
      </c>
    </row>
    <row r="380" spans="2:10" ht="38.25" x14ac:dyDescent="0.25">
      <c r="B380" s="48" t="str">
        <f>'PLANILHA ORÇAMENTÁRIA'!B380</f>
        <v>15.3</v>
      </c>
      <c r="C380" s="48">
        <f>'PLANILHA ORÇAMENTÁRIA'!C380</f>
        <v>91864</v>
      </c>
      <c r="D380" s="35" t="str">
        <f>'PLANILHA ORÇAMENTÁRIA'!D380</f>
        <v>ELETRODUTO RÍGIDO ROSCÁVEL, PVC, DN 32 MM (1"), PARA CIRCUITOS TERMINAIS, INSTALADO EM FORRO - FORNECIMENTO E INSTALAÇÃO. AF_12/2015</v>
      </c>
      <c r="E380" s="445" t="s">
        <v>1472</v>
      </c>
      <c r="F380" s="445"/>
      <c r="G380" s="445"/>
      <c r="H380" s="445"/>
      <c r="I380" s="33">
        <v>90</v>
      </c>
      <c r="J380" s="33" t="str">
        <f>'PLANILHA ORÇAMENTÁRIA'!E380</f>
        <v>M</v>
      </c>
    </row>
    <row r="381" spans="2:10" ht="38.25" x14ac:dyDescent="0.25">
      <c r="B381" s="48" t="str">
        <f>'PLANILHA ORÇAMENTÁRIA'!B381</f>
        <v>15.4</v>
      </c>
      <c r="C381" s="48">
        <f>'PLANILHA ORÇAMENTÁRIA'!C381</f>
        <v>91876</v>
      </c>
      <c r="D381" s="35" t="str">
        <f>'PLANILHA ORÇAMENTÁRIA'!D381</f>
        <v>LUVA PARA ELETRODUTO, PVC, ROSCÁVEL, DN 32 MM (1"), PARA CIRCUITOS TERMINAIS, INSTALADA EM FORRO - FORNECIMENTO E INSTALAÇÃO. AF_12/2015</v>
      </c>
      <c r="E381" s="445" t="s">
        <v>1472</v>
      </c>
      <c r="F381" s="445"/>
      <c r="G381" s="445"/>
      <c r="H381" s="445"/>
      <c r="I381" s="33">
        <v>30</v>
      </c>
      <c r="J381" s="33" t="str">
        <f>'PLANILHA ORÇAMENTÁRIA'!E381</f>
        <v>UN</v>
      </c>
    </row>
    <row r="382" spans="2:10" ht="38.25" x14ac:dyDescent="0.25">
      <c r="B382" s="48" t="str">
        <f>'PLANILHA ORÇAMENTÁRIA'!B382</f>
        <v>15.5</v>
      </c>
      <c r="C382" s="48">
        <f>'PLANILHA ORÇAMENTÁRIA'!C382</f>
        <v>93009</v>
      </c>
      <c r="D382" s="35" t="str">
        <f>'PLANILHA ORÇAMENTÁRIA'!D382</f>
        <v>ELETRODUTO RÍGIDO ROSCÁVEL, PVC, DN 60 MM (2"), PARA REDE ENTERRADA DE DISTRIBUIÇÃO DE ENERGIA ELÉTRICA - FORNECIMENTO E INSTALAÇÃO. AF_12/2021</v>
      </c>
      <c r="E382" s="445" t="s">
        <v>1472</v>
      </c>
      <c r="F382" s="445"/>
      <c r="G382" s="445"/>
      <c r="H382" s="445"/>
      <c r="I382" s="33">
        <v>40</v>
      </c>
      <c r="J382" s="33" t="str">
        <f>'PLANILHA ORÇAMENTÁRIA'!E382</f>
        <v>M</v>
      </c>
    </row>
    <row r="383" spans="2:10" ht="38.25" x14ac:dyDescent="0.25">
      <c r="B383" s="48" t="str">
        <f>'PLANILHA ORÇAMENTÁRIA'!B383</f>
        <v>15.6</v>
      </c>
      <c r="C383" s="48">
        <f>'PLANILHA ORÇAMENTÁRIA'!C383</f>
        <v>93014</v>
      </c>
      <c r="D383" s="35" t="str">
        <f>'PLANILHA ORÇAMENTÁRIA'!D383</f>
        <v>LUVA PARA ELETRODUTO, PVC, ROSCÁVEL, DN 60 MM (2"), PARA REDE ENTERRADA DE DISTRIBUIÇÃO DE ENERGIA ELÉTRICA - FORNECIMENTO E INSTALAÇÃO. AF_12/2021</v>
      </c>
      <c r="E383" s="445" t="s">
        <v>1472</v>
      </c>
      <c r="F383" s="445"/>
      <c r="G383" s="445"/>
      <c r="H383" s="445"/>
      <c r="I383" s="33">
        <v>14</v>
      </c>
      <c r="J383" s="33" t="str">
        <f>'PLANILHA ORÇAMENTÁRIA'!E383</f>
        <v>UN</v>
      </c>
    </row>
    <row r="384" spans="2:10" ht="25.5" x14ac:dyDescent="0.25">
      <c r="B384" s="48" t="str">
        <f>'PLANILHA ORÇAMENTÁRIA'!B384</f>
        <v>15.7</v>
      </c>
      <c r="C384" s="48">
        <f>'PLANILHA ORÇAMENTÁRIA'!C384</f>
        <v>39179</v>
      </c>
      <c r="D384" s="35" t="str">
        <f>'PLANILHA ORÇAMENTÁRIA'!D384</f>
        <v>BUCHA EM ALUMINIO, COM ROSCA, DE 2", PARA ELETRODUTO</v>
      </c>
      <c r="E384" s="445" t="s">
        <v>1472</v>
      </c>
      <c r="F384" s="445"/>
      <c r="G384" s="445"/>
      <c r="H384" s="445"/>
      <c r="I384" s="33">
        <v>3</v>
      </c>
      <c r="J384" s="33" t="str">
        <f>'PLANILHA ORÇAMENTÁRIA'!E384</f>
        <v>UN</v>
      </c>
    </row>
    <row r="385" spans="2:10" ht="38.25" x14ac:dyDescent="0.25">
      <c r="B385" s="48" t="str">
        <f>'PLANILHA ORÇAMENTÁRIA'!B385</f>
        <v>15.8</v>
      </c>
      <c r="C385" s="48">
        <f>'PLANILHA ORÇAMENTÁRIA'!C385</f>
        <v>2489</v>
      </c>
      <c r="D385" s="35" t="str">
        <f>'PLANILHA ORÇAMENTÁRIA'!D385</f>
        <v>CONECTOR RETO DE ALUMINIO PARA ELETRODUTO DE 2", PARA ADAPTAR ENTRADA DE ELETRODUTO METALICO EM QUADROS</v>
      </c>
      <c r="E385" s="445" t="s">
        <v>1472</v>
      </c>
      <c r="F385" s="445"/>
      <c r="G385" s="445"/>
      <c r="H385" s="445"/>
      <c r="I385" s="33">
        <v>3</v>
      </c>
      <c r="J385" s="33" t="str">
        <f>'PLANILHA ORÇAMENTÁRIA'!E385</f>
        <v>UN</v>
      </c>
    </row>
    <row r="386" spans="2:10" ht="38.25" x14ac:dyDescent="0.25">
      <c r="B386" s="48" t="str">
        <f>'PLANILHA ORÇAMENTÁRIA'!B386</f>
        <v>15.9</v>
      </c>
      <c r="C386" s="48">
        <f>'PLANILHA ORÇAMENTÁRIA'!C386</f>
        <v>2483</v>
      </c>
      <c r="D386" s="35" t="str">
        <f>'PLANILHA ORÇAMENTÁRIA'!D386</f>
        <v>CONECTOR RETO DE ALUMINIO PARA ELETRODUTO DE 1", PARA ADAPTAR ENTRADA DE ELETRODUTO METALICO FLEXIVEL EM QUADROS</v>
      </c>
      <c r="E386" s="445" t="s">
        <v>1472</v>
      </c>
      <c r="F386" s="445"/>
      <c r="G386" s="445"/>
      <c r="H386" s="445"/>
      <c r="I386" s="33">
        <v>6</v>
      </c>
      <c r="J386" s="33" t="str">
        <f>'PLANILHA ORÇAMENTÁRIA'!E386</f>
        <v>UN</v>
      </c>
    </row>
    <row r="387" spans="2:10" ht="25.5" x14ac:dyDescent="0.25">
      <c r="B387" s="48" t="str">
        <f>'PLANILHA ORÇAMENTÁRIA'!B387</f>
        <v>15.10</v>
      </c>
      <c r="C387" s="48">
        <f>'PLANILHA ORÇAMENTÁRIA'!C387</f>
        <v>39176</v>
      </c>
      <c r="D387" s="35" t="str">
        <f>'PLANILHA ORÇAMENTÁRIA'!D387</f>
        <v xml:space="preserve">BUCHA EM ALUMINIO, COM ROSCA, DE 1", PARA ELETRODUTO </v>
      </c>
      <c r="E387" s="445" t="s">
        <v>1472</v>
      </c>
      <c r="F387" s="445"/>
      <c r="G387" s="445"/>
      <c r="H387" s="445"/>
      <c r="I387" s="33">
        <v>6</v>
      </c>
      <c r="J387" s="33" t="str">
        <f>'PLANILHA ORÇAMENTÁRIA'!E387</f>
        <v>UN</v>
      </c>
    </row>
    <row r="388" spans="2:10" ht="25.5" x14ac:dyDescent="0.25">
      <c r="B388" s="48" t="str">
        <f>'PLANILHA ORÇAMENTÁRIA'!B388</f>
        <v>15.11</v>
      </c>
      <c r="C388" s="48">
        <f>'PLANILHA ORÇAMENTÁRIA'!C388</f>
        <v>39213</v>
      </c>
      <c r="D388" s="35" t="str">
        <f>'PLANILHA ORÇAMENTÁRIA'!D388</f>
        <v>ARRUELA EM ALUMINIO, COM ROSCA, DE 2", PARA FIXAÇÃO DE ELETRODUTO EM ELETROCALHA</v>
      </c>
      <c r="E388" s="445" t="s">
        <v>1472</v>
      </c>
      <c r="F388" s="445"/>
      <c r="G388" s="445"/>
      <c r="H388" s="445"/>
      <c r="I388" s="33">
        <v>6</v>
      </c>
      <c r="J388" s="33" t="str">
        <f>'PLANILHA ORÇAMENTÁRIA'!E388</f>
        <v>UN</v>
      </c>
    </row>
    <row r="389" spans="2:10" ht="25.5" x14ac:dyDescent="0.25">
      <c r="B389" s="48" t="str">
        <f>'PLANILHA ORÇAMENTÁRIA'!B389</f>
        <v>15.12</v>
      </c>
      <c r="C389" s="48">
        <f>'PLANILHA ORÇAMENTÁRIA'!C389</f>
        <v>39210</v>
      </c>
      <c r="D389" s="35" t="str">
        <f>'PLANILHA ORÇAMENTÁRIA'!D389</f>
        <v>ARRUELA EM ALUMINIO, COM ROSCA, DE 1", PARA FIXAÇÃO DE ELETRODUTO EM ELETROCALHA</v>
      </c>
      <c r="E389" s="445" t="s">
        <v>1472</v>
      </c>
      <c r="F389" s="445"/>
      <c r="G389" s="445"/>
      <c r="H389" s="445"/>
      <c r="I389" s="33">
        <v>14</v>
      </c>
      <c r="J389" s="33" t="str">
        <f>'PLANILHA ORÇAMENTÁRIA'!E389</f>
        <v>UN</v>
      </c>
    </row>
    <row r="390" spans="2:10" ht="25.5" x14ac:dyDescent="0.25">
      <c r="B390" s="48" t="str">
        <f>'PLANILHA ORÇAMENTÁRIA'!B390</f>
        <v>15.13</v>
      </c>
      <c r="C390" s="48">
        <f>'PLANILHA ORÇAMENTÁRIA'!C390</f>
        <v>39606</v>
      </c>
      <c r="D390" s="35" t="str">
        <f>'PLANILHA ORÇAMENTÁRIA'!D390</f>
        <v>PATCH CORD (CABO DE REDE), CATEGORIA 6 (CAT 6) UTP, 23 AWG, 4 PARES, EXTENSAO DE 1,50 M</v>
      </c>
      <c r="E390" s="445" t="s">
        <v>1472</v>
      </c>
      <c r="F390" s="445"/>
      <c r="G390" s="445"/>
      <c r="H390" s="445"/>
      <c r="I390" s="33">
        <v>15</v>
      </c>
      <c r="J390" s="33" t="str">
        <f>'PLANILHA ORÇAMENTÁRIA'!E389</f>
        <v>UN</v>
      </c>
    </row>
    <row r="391" spans="2:10" ht="25.5" x14ac:dyDescent="0.25">
      <c r="B391" s="48" t="str">
        <f>'PLANILHA ORÇAMENTÁRIA'!B391</f>
        <v>15.14</v>
      </c>
      <c r="C391" s="48">
        <f>'PLANILHA ORÇAMENTÁRIA'!C391</f>
        <v>98302</v>
      </c>
      <c r="D391" s="35" t="str">
        <f>'PLANILHA ORÇAMENTÁRIA'!D391</f>
        <v>PATCH PANEL 24 PORTAS, CATEGORIA 6 - FORNECIMENTO E INSTALAÇÃO. AF_11/2019</v>
      </c>
      <c r="E391" s="445" t="s">
        <v>1472</v>
      </c>
      <c r="F391" s="445"/>
      <c r="G391" s="445"/>
      <c r="H391" s="445"/>
      <c r="I391" s="33">
        <v>1</v>
      </c>
      <c r="J391" s="33" t="str">
        <f>'PLANILHA ORÇAMENTÁRIA'!E390</f>
        <v>UN</v>
      </c>
    </row>
    <row r="392" spans="2:10" ht="51" x14ac:dyDescent="0.25">
      <c r="B392" s="48" t="str">
        <f>'PLANILHA ORÇAMENTÁRIA'!B392</f>
        <v>15.15</v>
      </c>
      <c r="C392" s="48" t="str">
        <f>'PLANILHA ORÇAMENTÁRIA'!C392</f>
        <v>PMA CIV 009</v>
      </c>
      <c r="D392" s="35" t="str">
        <f>'PLANILHA ORÇAMENTÁRIA'!D392</f>
        <v>ELETROCALHA LISA OU PERFURADA EM AÇO GALVANIZADO, LARGURA 75MM E ALTURA 50MM, INCLUSIVE EMENDA E FIXAÇÃO - FORNECIMENTO E INSTALAÇÃO. AF_09/2016</v>
      </c>
      <c r="E392" s="445" t="s">
        <v>1472</v>
      </c>
      <c r="F392" s="445"/>
      <c r="G392" s="445"/>
      <c r="H392" s="445"/>
      <c r="I392" s="33">
        <v>65</v>
      </c>
      <c r="J392" s="33" t="str">
        <f>'PLANILHA ORÇAMENTÁRIA'!E391</f>
        <v>UN</v>
      </c>
    </row>
    <row r="393" spans="2:10" ht="51" x14ac:dyDescent="0.25">
      <c r="B393" s="48" t="str">
        <f>'PLANILHA ORÇAMENTÁRIA'!B393</f>
        <v>15.16</v>
      </c>
      <c r="C393" s="48" t="str">
        <f>'PLANILHA ORÇAMENTÁRIA'!C393</f>
        <v>PMA CIV 010</v>
      </c>
      <c r="D393" s="35" t="str">
        <f>'PLANILHA ORÇAMENTÁRIA'!D393</f>
        <v>COTOVELO RETO 90º PARA ELETROCALHA, LISA OU PERFURADA EM AÇO GALVANIZADO, LARGURA DE 75MM E ALTURA DE 50MM - FORNECIMENTO E INSTALAÇÃO. AF_09/2016</v>
      </c>
      <c r="E393" s="445" t="s">
        <v>1472</v>
      </c>
      <c r="F393" s="445"/>
      <c r="G393" s="445"/>
      <c r="H393" s="445"/>
      <c r="I393" s="33">
        <v>3</v>
      </c>
      <c r="J393" s="33" t="str">
        <f>'PLANILHA ORÇAMENTÁRIA'!E392</f>
        <v>M</v>
      </c>
    </row>
    <row r="394" spans="2:10" ht="51" x14ac:dyDescent="0.25">
      <c r="B394" s="48" t="str">
        <f>'PLANILHA ORÇAMENTÁRIA'!B394</f>
        <v>15.17</v>
      </c>
      <c r="C394" s="48" t="str">
        <f>'PLANILHA ORÇAMENTÁRIA'!C394</f>
        <v>PMA CIV 011</v>
      </c>
      <c r="D394" s="35" t="str">
        <f>'PLANILHA ORÇAMENTÁRIA'!D394</f>
        <v>TÊ HORIZONTAL 90º, PARA ELETROCALHA, LISA OU PERFURADA EM AÇO GALVANIZADO, LARGURA DE 75MM E ALTURA DE 50MM - FORNECIMENTO E INSTALAÇÃO. AF_09/2016</v>
      </c>
      <c r="E394" s="445" t="s">
        <v>1472</v>
      </c>
      <c r="F394" s="445"/>
      <c r="G394" s="445"/>
      <c r="H394" s="445"/>
      <c r="I394" s="33">
        <v>1</v>
      </c>
      <c r="J394" s="33" t="str">
        <f>'PLANILHA ORÇAMENTÁRIA'!E393</f>
        <v>UN</v>
      </c>
    </row>
    <row r="395" spans="2:10" ht="38.25" x14ac:dyDescent="0.25">
      <c r="B395" s="48" t="str">
        <f>'PLANILHA ORÇAMENTÁRIA'!B395</f>
        <v>15.18</v>
      </c>
      <c r="C395" s="48" t="str">
        <f>'PLANILHA ORÇAMENTÁRIA'!C395</f>
        <v>PMA CIV 012</v>
      </c>
      <c r="D395" s="35" t="str">
        <f>'PLANILHA ORÇAMENTÁRIA'!D395</f>
        <v>CONDULETE DE ALUMÍNIO, TIPO X, PARA ELETRODUTOS DN 50 MM (2''), APARENTE - FORNECIMENTO E INSTALAÇÃO. AF_11/2016</v>
      </c>
      <c r="E395" s="445" t="s">
        <v>1472</v>
      </c>
      <c r="F395" s="445"/>
      <c r="G395" s="445"/>
      <c r="H395" s="445"/>
      <c r="I395" s="33">
        <v>1</v>
      </c>
      <c r="J395" s="33" t="str">
        <f>'PLANILHA ORÇAMENTÁRIA'!E394</f>
        <v>UN</v>
      </c>
    </row>
    <row r="396" spans="2:10" ht="38.25" x14ac:dyDescent="0.25">
      <c r="B396" s="48" t="str">
        <f>'PLANILHA ORÇAMENTÁRIA'!B396</f>
        <v>15.19</v>
      </c>
      <c r="C396" s="48">
        <f>'PLANILHA ORÇAMENTÁRIA'!C396</f>
        <v>95802</v>
      </c>
      <c r="D396" s="35" t="str">
        <f>'PLANILHA ORÇAMENTÁRIA'!D396</f>
        <v>CONDULETE DE ALUMÍNIO, TIPO X, PARA ELETRODUTOS DN 25 MM (1''), APARENTE - FORNECIMENTO E INSTALAÇÃO. AF_11/2016</v>
      </c>
      <c r="E396" s="445" t="s">
        <v>1472</v>
      </c>
      <c r="F396" s="445"/>
      <c r="G396" s="445"/>
      <c r="H396" s="445"/>
      <c r="I396" s="33">
        <v>7</v>
      </c>
      <c r="J396" s="33" t="str">
        <f>'PLANILHA ORÇAMENTÁRIA'!E395</f>
        <v>UN</v>
      </c>
    </row>
    <row r="397" spans="2:10" ht="38.25" x14ac:dyDescent="0.25">
      <c r="B397" s="48" t="str">
        <f>'PLANILHA ORÇAMENTÁRIA'!B397</f>
        <v>15.20</v>
      </c>
      <c r="C397" s="48">
        <f>'PLANILHA ORÇAMENTÁRIA'!C397</f>
        <v>98297</v>
      </c>
      <c r="D397" s="35" t="str">
        <f>'PLANILHA ORÇAMENTÁRIA'!D397</f>
        <v>CABO ELETRÔNICO CATEGORIA 6, INSTALADO EM EDIFICAÇÃO INSTITUCIONAL - FORNECIMENTO E INSTALAÇÃO. AF_11/2019</v>
      </c>
      <c r="E397" s="445" t="s">
        <v>1472</v>
      </c>
      <c r="F397" s="445"/>
      <c r="G397" s="445"/>
      <c r="H397" s="445"/>
      <c r="I397" s="33">
        <v>700</v>
      </c>
      <c r="J397" s="33" t="str">
        <f>'PLANILHA ORÇAMENTÁRIA'!E396</f>
        <v>UN</v>
      </c>
    </row>
    <row r="398" spans="2:10" ht="51" x14ac:dyDescent="0.25">
      <c r="B398" s="48" t="str">
        <f>'PLANILHA ORÇAMENTÁRIA'!B398</f>
        <v>15.21</v>
      </c>
      <c r="C398" s="48">
        <f>'PLANILHA ORÇAMENTÁRIA'!C398</f>
        <v>98287</v>
      </c>
      <c r="D398" s="35" t="str">
        <f>'PLANILHA ORÇAMENTÁRIA'!D398</f>
        <v>CABO TELEFÔNICO CCI-50 1 PAR, SEM BLINDAGEM, INSTALADO EM DISTRIBUIÇÃO DE EDIFICAÇÃO INSTITUCIONAL - FORNECIMENTO E INSTALAÇÃO. AF_11/2019</v>
      </c>
      <c r="E398" s="445" t="s">
        <v>1472</v>
      </c>
      <c r="F398" s="445"/>
      <c r="G398" s="445"/>
      <c r="H398" s="445"/>
      <c r="I398" s="33">
        <v>650</v>
      </c>
      <c r="J398" s="33" t="str">
        <f>'PLANILHA ORÇAMENTÁRIA'!E397</f>
        <v>M</v>
      </c>
    </row>
    <row r="399" spans="2:10" ht="25.5" x14ac:dyDescent="0.25">
      <c r="B399" s="48" t="str">
        <f>'PLANILHA ORÇAMENTÁRIA'!B399</f>
        <v>15.22</v>
      </c>
      <c r="C399" s="48">
        <f>'PLANILHA ORÇAMENTÁRIA'!C399</f>
        <v>98305</v>
      </c>
      <c r="D399" s="35" t="str">
        <f>'PLANILHA ORÇAMENTÁRIA'!D399</f>
        <v>RACK FECHADO PARA SERVIDOR - FORNECIMENTO E INSTALAÇÃO. AF_11/2019</v>
      </c>
      <c r="E399" s="445" t="s">
        <v>1472</v>
      </c>
      <c r="F399" s="445"/>
      <c r="G399" s="445"/>
      <c r="H399" s="445"/>
      <c r="I399" s="33">
        <v>1</v>
      </c>
      <c r="J399" s="33" t="str">
        <f>'PLANILHA ORÇAMENTÁRIA'!E398</f>
        <v>M</v>
      </c>
    </row>
    <row r="400" spans="2:10" x14ac:dyDescent="0.25">
      <c r="B400" s="448"/>
      <c r="C400" s="448"/>
      <c r="D400" s="448"/>
      <c r="E400" s="448"/>
      <c r="F400" s="448"/>
      <c r="G400" s="448"/>
      <c r="H400" s="448"/>
      <c r="I400" s="448"/>
      <c r="J400" s="448"/>
    </row>
    <row r="401" spans="2:10" x14ac:dyDescent="0.25">
      <c r="B401" s="449" t="s">
        <v>191</v>
      </c>
      <c r="C401" s="449"/>
      <c r="D401" s="450" t="s">
        <v>948</v>
      </c>
      <c r="E401" s="450"/>
      <c r="F401" s="450"/>
      <c r="G401" s="450"/>
      <c r="H401" s="450"/>
      <c r="I401" s="450"/>
      <c r="J401" s="450"/>
    </row>
    <row r="402" spans="2:10" ht="38.25" x14ac:dyDescent="0.25">
      <c r="B402" s="48" t="str">
        <f>'PLANILHA ORÇAMENTÁRIA'!B402</f>
        <v>16.1</v>
      </c>
      <c r="C402" s="48">
        <f>'PLANILHA ORÇAMENTÁRIA'!C402</f>
        <v>103244</v>
      </c>
      <c r="D402" s="174" t="str">
        <f>'PLANILHA ORÇAMENTÁRIA'!D402</f>
        <v>AR CONDICIONADO SPLIT INVERTER, HI-WALL (PAREDE), 9000 BTU/H, CICLO FRIO - FORNECIMENTO E INSTALAÇÃO. AF_11/2021_P</v>
      </c>
      <c r="E402" s="445" t="s">
        <v>946</v>
      </c>
      <c r="F402" s="445"/>
      <c r="G402" s="445"/>
      <c r="H402" s="445"/>
      <c r="I402" s="48">
        <v>2</v>
      </c>
      <c r="J402" s="176" t="s">
        <v>309</v>
      </c>
    </row>
    <row r="403" spans="2:10" ht="38.25" x14ac:dyDescent="0.25">
      <c r="B403" s="48" t="str">
        <f>'PLANILHA ORÇAMENTÁRIA'!B403</f>
        <v>16.2</v>
      </c>
      <c r="C403" s="48">
        <f>'PLANILHA ORÇAMENTÁRIA'!C403</f>
        <v>103247</v>
      </c>
      <c r="D403" s="174" t="str">
        <f>'PLANILHA ORÇAMENTÁRIA'!D403</f>
        <v>AR CONDICIONADO SPLIT INVERTER, HI-WALL (PAREDE), 12000 BTU/H, CICLO FRIO - FORNECIMENTO E INSTALAÇÃO. AF_11/2021_P</v>
      </c>
      <c r="E403" s="445" t="s">
        <v>947</v>
      </c>
      <c r="F403" s="445"/>
      <c r="G403" s="445"/>
      <c r="H403" s="445"/>
      <c r="I403" s="48">
        <v>3</v>
      </c>
      <c r="J403" s="176" t="s">
        <v>309</v>
      </c>
    </row>
    <row r="404" spans="2:10" ht="38.25" x14ac:dyDescent="0.25">
      <c r="B404" s="48" t="str">
        <f>'PLANILHA ORÇAMENTÁRIA'!B404</f>
        <v>16.3</v>
      </c>
      <c r="C404" s="48">
        <f>'PLANILHA ORÇAMENTÁRIA'!C404</f>
        <v>103250</v>
      </c>
      <c r="D404" s="174" t="str">
        <f>'PLANILHA ORÇAMENTÁRIA'!D404</f>
        <v>AR CONDICIONADO SPLIT INVERTER, HI-WALL (PAREDE), 18000 BTU/H, CICLO FRIO - FORNECIMENTO E INSTALAÇÃO. AF_11/2021_P</v>
      </c>
      <c r="E404" s="445" t="s">
        <v>950</v>
      </c>
      <c r="F404" s="445"/>
      <c r="G404" s="445"/>
      <c r="H404" s="445"/>
      <c r="I404" s="48">
        <f>4+12+2</f>
        <v>18</v>
      </c>
      <c r="J404" s="176" t="s">
        <v>309</v>
      </c>
    </row>
    <row r="405" spans="2:10" ht="38.25" x14ac:dyDescent="0.25">
      <c r="B405" s="48" t="str">
        <f>'PLANILHA ORÇAMENTÁRIA'!B405</f>
        <v>16.4</v>
      </c>
      <c r="C405" s="48">
        <f>'PLANILHA ORÇAMENTÁRIA'!C405</f>
        <v>103253</v>
      </c>
      <c r="D405" s="174" t="str">
        <f>'PLANILHA ORÇAMENTÁRIA'!D405</f>
        <v>AR CONDICIONADO SPLIT INVERTER, HI-WALL (PAREDE), 24000 BTU/H, CICLO FRIO - FORNECIMENTO E INSTALAÇÃO. AF_11/2021_P</v>
      </c>
      <c r="E405" s="445" t="s">
        <v>949</v>
      </c>
      <c r="F405" s="445"/>
      <c r="G405" s="445"/>
      <c r="H405" s="445"/>
      <c r="I405" s="48">
        <v>1</v>
      </c>
      <c r="J405" s="176" t="s">
        <v>309</v>
      </c>
    </row>
    <row r="406" spans="2:10" ht="38.25" x14ac:dyDescent="0.25">
      <c r="B406" s="48" t="str">
        <f>'PLANILHA ORÇAMENTÁRIA'!B406</f>
        <v>16.5</v>
      </c>
      <c r="C406" s="48">
        <f>'PLANILHA ORÇAMENTÁRIA'!C406</f>
        <v>89865</v>
      </c>
      <c r="D406" s="174" t="str">
        <f>'PLANILHA ORÇAMENTÁRIA'!D406</f>
        <v>TUBO, PVC, SOLDÁVEL, DN 25MM, INSTALADO EM DRENO DE AR-CONDICIONADO - FORNECIMENTO E INSTALAÇÃO. AF_12/2014</v>
      </c>
      <c r="E406" s="445" t="s">
        <v>952</v>
      </c>
      <c r="F406" s="445"/>
      <c r="G406" s="445"/>
      <c r="H406" s="445"/>
      <c r="I406" s="48">
        <f>24*5</f>
        <v>120</v>
      </c>
      <c r="J406" s="176" t="s">
        <v>248</v>
      </c>
    </row>
    <row r="407" spans="2:10" x14ac:dyDescent="0.25">
      <c r="B407" s="448"/>
      <c r="C407" s="448"/>
      <c r="D407" s="448"/>
      <c r="E407" s="448"/>
      <c r="F407" s="448"/>
      <c r="G407" s="448"/>
      <c r="H407" s="448"/>
      <c r="I407" s="448"/>
      <c r="J407" s="448"/>
    </row>
    <row r="408" spans="2:10" x14ac:dyDescent="0.25">
      <c r="B408" s="449" t="s">
        <v>691</v>
      </c>
      <c r="C408" s="449"/>
      <c r="D408" s="450" t="s">
        <v>768</v>
      </c>
      <c r="E408" s="450"/>
      <c r="F408" s="450"/>
      <c r="G408" s="450"/>
      <c r="H408" s="450"/>
      <c r="I408" s="450"/>
      <c r="J408" s="450"/>
    </row>
    <row r="409" spans="2:10" ht="38.25" x14ac:dyDescent="0.25">
      <c r="B409" s="48" t="s">
        <v>634</v>
      </c>
      <c r="C409" s="48">
        <f>'PLANILHA ORÇAMENTÁRIA'!C409</f>
        <v>101905</v>
      </c>
      <c r="D409" s="24" t="str">
        <f>'PLANILHA ORÇAMENTÁRIA'!D409</f>
        <v>EXTINTOR DE INCÊNDIO PORTÁTIL COM CARGA DE ÁGUA PRESSURIZADA DE 10 L, CLASSE A - FORNECIMENTO E INSTALAÇÃO. AF_10/2020_P</v>
      </c>
      <c r="E409" s="445" t="s">
        <v>1012</v>
      </c>
      <c r="F409" s="445"/>
      <c r="G409" s="445"/>
      <c r="H409" s="445"/>
      <c r="I409" s="33">
        <v>6</v>
      </c>
      <c r="J409" s="33" t="s">
        <v>309</v>
      </c>
    </row>
    <row r="410" spans="2:10" ht="38.25" x14ac:dyDescent="0.25">
      <c r="B410" s="48" t="s">
        <v>635</v>
      </c>
      <c r="C410" s="48">
        <f>'PLANILHA ORÇAMENTÁRIA'!C410</f>
        <v>101907</v>
      </c>
      <c r="D410" s="337" t="str">
        <f>'PLANILHA ORÇAMENTÁRIA'!D410</f>
        <v>EXTINTOR DE INCÊNDIO PORTÁTIL COM CARGA DE CO2 DE 6 KG, CLASSE BC - FORNECIMENTO E INSTALAÇÃO. AF_10/2020_P</v>
      </c>
      <c r="E410" s="445" t="s">
        <v>1012</v>
      </c>
      <c r="F410" s="445"/>
      <c r="G410" s="445"/>
      <c r="H410" s="445"/>
      <c r="I410" s="33">
        <v>2</v>
      </c>
      <c r="J410" s="33" t="s">
        <v>309</v>
      </c>
    </row>
    <row r="411" spans="2:10" ht="38.25" x14ac:dyDescent="0.25">
      <c r="B411" s="48" t="s">
        <v>692</v>
      </c>
      <c r="C411" s="48">
        <f>'PLANILHA ORÇAMENTÁRIA'!C411</f>
        <v>101908</v>
      </c>
      <c r="D411" s="337" t="str">
        <f>'PLANILHA ORÇAMENTÁRIA'!D411</f>
        <v>EXTINTOR DE INCÊNDIO PORTÁTIL COM CARGA DE PQS DE 4 KG, CLASSE BC - FORNECIMENTO E INSTALAÇÃO. AF_10/2020_P</v>
      </c>
      <c r="E411" s="445" t="s">
        <v>1012</v>
      </c>
      <c r="F411" s="445"/>
      <c r="G411" s="445"/>
      <c r="H411" s="445"/>
      <c r="I411" s="33">
        <v>6</v>
      </c>
      <c r="J411" s="33" t="s">
        <v>309</v>
      </c>
    </row>
    <row r="412" spans="2:10" ht="51" x14ac:dyDescent="0.25">
      <c r="B412" s="48" t="s">
        <v>693</v>
      </c>
      <c r="C412" s="48">
        <f>'PLANILHA ORÇAMENTÁRIA'!C412</f>
        <v>37558</v>
      </c>
      <c r="D412" s="337" t="str">
        <f>'PLANILHA ORÇAMENTÁRIA'!D412</f>
        <v>PLACA DE SINALIZACAO DE SEGURANCA CONTRA INCENDIO, FOTOLUMINESCENTE, RETANGULAR, *20 X 40* CM, EM PVC *2* MM ANTI-CHAMAS (SIMBOLOS, CORES E PICTOGRAMAS CONFORME NBR 16820)</v>
      </c>
      <c r="E412" s="445" t="s">
        <v>1012</v>
      </c>
      <c r="F412" s="445"/>
      <c r="G412" s="445"/>
      <c r="H412" s="445"/>
      <c r="I412" s="33">
        <v>22</v>
      </c>
      <c r="J412" s="33" t="s">
        <v>309</v>
      </c>
    </row>
    <row r="413" spans="2:10" x14ac:dyDescent="0.25">
      <c r="B413" s="448"/>
      <c r="C413" s="448"/>
      <c r="D413" s="448"/>
      <c r="E413" s="448"/>
      <c r="F413" s="448"/>
      <c r="G413" s="448"/>
      <c r="H413" s="448"/>
      <c r="I413" s="448"/>
      <c r="J413" s="448"/>
    </row>
    <row r="414" spans="2:10" x14ac:dyDescent="0.25">
      <c r="B414" s="449" t="s">
        <v>706</v>
      </c>
      <c r="C414" s="449"/>
      <c r="D414" s="450" t="s">
        <v>694</v>
      </c>
      <c r="E414" s="450"/>
      <c r="F414" s="450"/>
      <c r="G414" s="450"/>
      <c r="H414" s="450"/>
      <c r="I414" s="450"/>
      <c r="J414" s="450"/>
    </row>
    <row r="415" spans="2:10" ht="25.5" x14ac:dyDescent="0.25">
      <c r="B415" s="48" t="s">
        <v>707</v>
      </c>
      <c r="C415" s="48" t="str">
        <f>'PLANILHA ORÇAMENTÁRIA'!C415</f>
        <v>PMA CIV 007</v>
      </c>
      <c r="D415" s="35" t="str">
        <f>'PLANILHA ORÇAMENTÁRIA'!D415</f>
        <v>REGULARIZACAO E COMPACTACAO MANUAL DE TERRENO COM SOQUETE</v>
      </c>
      <c r="E415" s="445" t="s">
        <v>1400</v>
      </c>
      <c r="F415" s="445"/>
      <c r="G415" s="445"/>
      <c r="H415" s="445"/>
      <c r="I415" s="33">
        <v>430.67</v>
      </c>
      <c r="J415" s="33" t="str">
        <f>'PLANILHA ORÇAMENTÁRIA'!E415</f>
        <v>M2</v>
      </c>
    </row>
    <row r="416" spans="2:10" ht="25.5" x14ac:dyDescent="0.25">
      <c r="B416" s="48" t="s">
        <v>708</v>
      </c>
      <c r="C416" s="48">
        <f>'PLANILHA ORÇAMENTÁRIA'!C416</f>
        <v>96622</v>
      </c>
      <c r="D416" s="35" t="str">
        <f>'PLANILHA ORÇAMENTÁRIA'!D416</f>
        <v>LASTRO COM MATERIAL GRANULAR, APLICADO EM PISOS OU LAJES SOBRE SOLO, ESPESSURA DE 3CM</v>
      </c>
      <c r="E416" s="445" t="s">
        <v>898</v>
      </c>
      <c r="F416" s="445"/>
      <c r="G416" s="445"/>
      <c r="H416" s="445"/>
      <c r="I416" s="33">
        <f>I415*0.03</f>
        <v>12.9201</v>
      </c>
      <c r="J416" s="33" t="str">
        <f>'PLANILHA ORÇAMENTÁRIA'!E416</f>
        <v>M3</v>
      </c>
    </row>
    <row r="417" spans="2:10" ht="51" x14ac:dyDescent="0.25">
      <c r="B417" s="48" t="s">
        <v>709</v>
      </c>
      <c r="C417" s="48">
        <f>'PLANILHA ORÇAMENTÁRIA'!C417</f>
        <v>94992</v>
      </c>
      <c r="D417" s="35" t="str">
        <f>'PLANILHA ORÇAMENTÁRIA'!D417</f>
        <v>EXECUÇÃO DE PASSEIO (CALÇADA) OU PISO DE CONCRETO COM CONCRETO MOLDADO IN LOCO, FEITO EM OBRA, ACABAMENTO CONVENCIONAL, ESPESSURA 6 CM, ARMADO. AF_07/2016</v>
      </c>
      <c r="E417" s="445" t="s">
        <v>897</v>
      </c>
      <c r="F417" s="445"/>
      <c r="G417" s="445"/>
      <c r="H417" s="445"/>
      <c r="I417" s="33">
        <v>51.66</v>
      </c>
      <c r="J417" s="33" t="str">
        <f>'PLANILHA ORÇAMENTÁRIA'!E417</f>
        <v>M2</v>
      </c>
    </row>
    <row r="418" spans="2:10" ht="38.25" x14ac:dyDescent="0.25">
      <c r="B418" s="48" t="s">
        <v>710</v>
      </c>
      <c r="C418" s="48">
        <f>'PLANILHA ORÇAMENTÁRIA'!C418</f>
        <v>94990</v>
      </c>
      <c r="D418" s="35" t="str">
        <f>'PLANILHA ORÇAMENTÁRIA'!D418</f>
        <v>EXECUÇÃO DE PASSEIO (CALÇADA) OU PISO DE CONCRETO COM CONCRETO MOLDADO IN LOCO, FEITO EM OBRA, ACABAMENTO CONVENCIONAL, NÃO ARMADO. AF_07/2016</v>
      </c>
      <c r="E418" s="445" t="s">
        <v>1633</v>
      </c>
      <c r="F418" s="445"/>
      <c r="G418" s="445"/>
      <c r="H418" s="445"/>
      <c r="I418" s="33">
        <f>(430.67-51.66)*0.06</f>
        <v>22.740600000000001</v>
      </c>
      <c r="J418" s="33" t="str">
        <f>'PLANILHA ORÇAMENTÁRIA'!E418</f>
        <v>M3</v>
      </c>
    </row>
    <row r="419" spans="2:10" ht="38.25" x14ac:dyDescent="0.25">
      <c r="B419" s="48" t="s">
        <v>771</v>
      </c>
      <c r="C419" s="48">
        <f>'PLANILHA ORÇAMENTÁRIA'!C419</f>
        <v>102491</v>
      </c>
      <c r="D419" s="35" t="str">
        <f>'PLANILHA ORÇAMENTÁRIA'!D419</f>
        <v>PINTURA DE PISO COM TINTA ACRÍLICA, APLICAÇÃO MANUAL, 2 DEMÃOS, INCLUSO FUNDO PREPARADOR. AF_05/2021</v>
      </c>
      <c r="E419" s="445" t="s">
        <v>899</v>
      </c>
      <c r="F419" s="445"/>
      <c r="G419" s="445"/>
      <c r="H419" s="445"/>
      <c r="I419" s="33">
        <f>I415</f>
        <v>430.67</v>
      </c>
      <c r="J419" s="33" t="str">
        <f>'PLANILHA ORÇAMENTÁRIA'!E419</f>
        <v>M2</v>
      </c>
    </row>
    <row r="420" spans="2:10" ht="25.5" x14ac:dyDescent="0.25">
      <c r="B420" s="48" t="s">
        <v>772</v>
      </c>
      <c r="C420" s="48">
        <f>'PLANILHA ORÇAMENTÁRIA'!C420</f>
        <v>97113</v>
      </c>
      <c r="D420" s="35" t="str">
        <f>'PLANILHA ORÇAMENTÁRIA'!D420</f>
        <v>APLICAÇÃO DE LONA PLÁSTICA PARA EXECUÇÃO DE PAVIMENTOS DE CONCRETO (REUTILIZÁVEL)</v>
      </c>
      <c r="E420" s="445" t="s">
        <v>901</v>
      </c>
      <c r="F420" s="445"/>
      <c r="G420" s="445"/>
      <c r="H420" s="445"/>
      <c r="I420" s="33">
        <f>I110</f>
        <v>488.9</v>
      </c>
      <c r="J420" s="33" t="str">
        <f>'PLANILHA ORÇAMENTÁRIA'!E420</f>
        <v>M2</v>
      </c>
    </row>
    <row r="421" spans="2:10" x14ac:dyDescent="0.25">
      <c r="B421" s="448"/>
      <c r="C421" s="448"/>
      <c r="D421" s="448"/>
      <c r="E421" s="448"/>
      <c r="F421" s="448"/>
      <c r="G421" s="448"/>
      <c r="H421" s="448"/>
      <c r="I421" s="448"/>
      <c r="J421" s="448"/>
    </row>
    <row r="422" spans="2:10" x14ac:dyDescent="0.25">
      <c r="B422" s="449" t="s">
        <v>773</v>
      </c>
      <c r="C422" s="449"/>
      <c r="D422" s="450" t="s">
        <v>73</v>
      </c>
      <c r="E422" s="450"/>
      <c r="F422" s="450"/>
      <c r="G422" s="450"/>
      <c r="H422" s="450"/>
      <c r="I422" s="450"/>
      <c r="J422" s="450"/>
    </row>
    <row r="423" spans="2:10" x14ac:dyDescent="0.25">
      <c r="B423" s="447" t="s">
        <v>15</v>
      </c>
      <c r="C423" s="447"/>
      <c r="D423" s="447"/>
      <c r="E423" s="447"/>
      <c r="F423" s="447"/>
      <c r="G423" s="447"/>
      <c r="H423" s="447"/>
      <c r="I423" s="447"/>
      <c r="J423" s="447"/>
    </row>
    <row r="424" spans="2:10" ht="38.25" x14ac:dyDescent="0.25">
      <c r="B424" s="85" t="s">
        <v>774</v>
      </c>
      <c r="C424" s="21">
        <f>'PLANILHA ORÇAMENTÁRIA'!C424</f>
        <v>96527</v>
      </c>
      <c r="D424" s="25" t="str">
        <f>'PLANILHA ORÇAMENTÁRIA'!D424</f>
        <v>ESCAVAÇÃO MANUAL DE VALA PARA VIGA BALDRAME (INCLUINDO ESCAVAÇÃO PARA COLOCAÇÃO DE FÔRMAS). AF_06/2017</v>
      </c>
      <c r="E424" s="451" t="s">
        <v>872</v>
      </c>
      <c r="F424" s="451"/>
      <c r="G424" s="451"/>
      <c r="H424" s="451"/>
      <c r="I424" s="168">
        <f>0.4*0.4*(37.72+9.55+19.16+(4.04*2))</f>
        <v>11.92</v>
      </c>
      <c r="J424" s="85" t="s">
        <v>257</v>
      </c>
    </row>
    <row r="425" spans="2:10" ht="25.5" x14ac:dyDescent="0.25">
      <c r="B425" s="85" t="s">
        <v>775</v>
      </c>
      <c r="C425" s="21">
        <f>'PLANILHA ORÇAMENTÁRIA'!C425</f>
        <v>96620</v>
      </c>
      <c r="D425" s="25" t="str">
        <f>'PLANILHA ORÇAMENTÁRIA'!D425</f>
        <v>LASTRO DE CONCRETO MAGRO (2CM), APLICADO EM PISOS, LAJES SOBRE SOLO OU RADIERS. AF_08/2017</v>
      </c>
      <c r="E425" s="451" t="s">
        <v>874</v>
      </c>
      <c r="F425" s="451"/>
      <c r="G425" s="451"/>
      <c r="H425" s="451"/>
      <c r="I425" s="168">
        <f>0.4*0.02*74.51</f>
        <v>0.6</v>
      </c>
      <c r="J425" s="85" t="s">
        <v>257</v>
      </c>
    </row>
    <row r="426" spans="2:10" ht="38.25" x14ac:dyDescent="0.25">
      <c r="B426" s="85" t="s">
        <v>776</v>
      </c>
      <c r="C426" s="21">
        <f>'PLANILHA ORÇAMENTÁRIA'!C426</f>
        <v>94965</v>
      </c>
      <c r="D426" s="25" t="str">
        <f>'PLANILHA ORÇAMENTÁRIA'!D426</f>
        <v>CONCRETO FCK = 25MPA, TRAÇO 1:2,3:2,7 (CIMENTO/ AREIA MÉDIA/ BRITA 1)- PREPARO MECÂNICO COM BETONEIRA 400 L. AF_07/2016</v>
      </c>
      <c r="E426" s="445" t="s">
        <v>873</v>
      </c>
      <c r="F426" s="445"/>
      <c r="G426" s="445"/>
      <c r="H426" s="445"/>
      <c r="I426" s="171">
        <f>0.2*0.4*74.51</f>
        <v>5.96</v>
      </c>
      <c r="J426" s="23" t="s">
        <v>257</v>
      </c>
    </row>
    <row r="427" spans="2:10" ht="25.5" x14ac:dyDescent="0.25">
      <c r="B427" s="85" t="s">
        <v>777</v>
      </c>
      <c r="C427" s="21">
        <f>'PLANILHA ORÇAMENTÁRIA'!C427</f>
        <v>96543</v>
      </c>
      <c r="D427" s="20" t="str">
        <f>'PLANILHA ORÇAMENTÁRIA'!D427</f>
        <v>ARMAÇÃO DE BLOCO, VIGA BALDRAME E SAPATA UTILIZANDO AÇO CA-60 DE 5 MM - MONTAGEM. AF_06/2017</v>
      </c>
      <c r="E427" s="445" t="s">
        <v>876</v>
      </c>
      <c r="F427" s="445"/>
      <c r="G427" s="445"/>
      <c r="H427" s="445"/>
      <c r="I427" s="171">
        <f>(0.35+0.35+0.3+0.1)*((37.72+9.55+19.16+4.04+4.04)/0.2)*0.154*1.1</f>
        <v>69.42</v>
      </c>
      <c r="J427" s="23" t="s">
        <v>253</v>
      </c>
    </row>
    <row r="428" spans="2:10" ht="25.5" x14ac:dyDescent="0.25">
      <c r="B428" s="85" t="s">
        <v>915</v>
      </c>
      <c r="C428" s="21">
        <f>'PLANILHA ORÇAMENTÁRIA'!C428</f>
        <v>96545</v>
      </c>
      <c r="D428" s="20" t="str">
        <f>'PLANILHA ORÇAMENTÁRIA'!D428</f>
        <v>ARMAÇÃO DE BLOCO, VIGA BALDRAME OU SAPATA UTILIZANDO AÇO CA-50 DE 8 MM - MONTAGEM. AF_06/2017</v>
      </c>
      <c r="E428" s="445" t="s">
        <v>887</v>
      </c>
      <c r="F428" s="445"/>
      <c r="G428" s="445"/>
      <c r="H428" s="445"/>
      <c r="I428" s="171">
        <f>74.51*4*1.1*0.395</f>
        <v>129.5</v>
      </c>
      <c r="J428" s="23" t="s">
        <v>253</v>
      </c>
    </row>
    <row r="429" spans="2:10" ht="38.25" x14ac:dyDescent="0.25">
      <c r="B429" s="85" t="s">
        <v>916</v>
      </c>
      <c r="C429" s="21">
        <f>'PLANILHA ORÇAMENTÁRIA'!C429</f>
        <v>96536</v>
      </c>
      <c r="D429" s="20" t="str">
        <f>'PLANILHA ORÇAMENTÁRIA'!D429</f>
        <v>FABRICAÇÃO, MONTAGEM E DESMONTAGEM DE FÔRMA PARA VIGA BALDRAME, EM MADEIRA SERRADA, E=25 MM, 4 UTILIZAÇÕES. AF_06/2017</v>
      </c>
      <c r="E429" s="445" t="s">
        <v>884</v>
      </c>
      <c r="F429" s="445"/>
      <c r="G429" s="445"/>
      <c r="H429" s="445"/>
      <c r="I429" s="84">
        <f>(0.4*74.51*2*1.1)</f>
        <v>65.569999999999993</v>
      </c>
      <c r="J429" s="23" t="s">
        <v>251</v>
      </c>
    </row>
    <row r="430" spans="2:10" ht="25.5" x14ac:dyDescent="0.25">
      <c r="B430" s="85" t="s">
        <v>917</v>
      </c>
      <c r="C430" s="21">
        <f>'PLANILHA ORÇAMENTÁRIA'!C430</f>
        <v>98557</v>
      </c>
      <c r="D430" s="20" t="str">
        <f>'PLANILHA ORÇAMENTÁRIA'!D430</f>
        <v>IMPERMEABILIZAÇÃO DE SUPERFÍCIE COM EMULSÃO ASFÁLTICA, 2 DEMÃOS AF_06/2018</v>
      </c>
      <c r="E430" s="445" t="s">
        <v>868</v>
      </c>
      <c r="F430" s="445"/>
      <c r="G430" s="445"/>
      <c r="H430" s="445"/>
      <c r="I430" s="171">
        <f>0.4*74.51*2</f>
        <v>59.61</v>
      </c>
      <c r="J430" s="23" t="s">
        <v>251</v>
      </c>
    </row>
    <row r="431" spans="2:10" x14ac:dyDescent="0.25">
      <c r="B431" s="447" t="s">
        <v>182</v>
      </c>
      <c r="C431" s="447"/>
      <c r="D431" s="447"/>
      <c r="E431" s="447"/>
      <c r="F431" s="447"/>
      <c r="G431" s="447"/>
      <c r="H431" s="447"/>
      <c r="I431" s="447"/>
      <c r="J431" s="447"/>
    </row>
    <row r="432" spans="2:10" ht="38.25" x14ac:dyDescent="0.25">
      <c r="B432" s="48" t="s">
        <v>918</v>
      </c>
      <c r="C432" s="21">
        <f>'PLANILHA ORÇAMENTÁRIA'!C432</f>
        <v>94965</v>
      </c>
      <c r="D432" s="25" t="str">
        <f>'PLANILHA ORÇAMENTÁRIA'!D432</f>
        <v>CONCRETO FCK = 25MPA, TRAÇO 1:2,3:2,7 (CIMENTO/ AREIA MÉDIA/ BRITA 1)- PREPARO MECÂNICO COM BETONEIRA 400 L. AF_07/2016</v>
      </c>
      <c r="E432" s="445" t="s">
        <v>869</v>
      </c>
      <c r="F432" s="445"/>
      <c r="G432" s="445"/>
      <c r="H432" s="445"/>
      <c r="I432" s="171">
        <f>38*0.14*0.26*2.4</f>
        <v>3.32</v>
      </c>
      <c r="J432" s="23" t="s">
        <v>257</v>
      </c>
    </row>
    <row r="433" spans="2:10" ht="51" x14ac:dyDescent="0.25">
      <c r="B433" s="48" t="s">
        <v>919</v>
      </c>
      <c r="C433" s="21">
        <f>'PLANILHA ORÇAMENTÁRIA'!C433</f>
        <v>92427</v>
      </c>
      <c r="D433" s="25" t="str">
        <f>'PLANILHA ORÇAMENTÁRIA'!D433</f>
        <v>MONTAGEM E DESMONTAGEM DE FÔRMA DE PILARES RETANGULARES E ESTRUTURAS SIMILARES, PÉ-DIREITO SIMPLES, EM CHAPA DE MADEIRA COMPENSADA RESINADA, 8 UTILIZAÇÕES. AF_09/2020</v>
      </c>
      <c r="E433" s="445" t="s">
        <v>885</v>
      </c>
      <c r="F433" s="445"/>
      <c r="G433" s="445"/>
      <c r="H433" s="445"/>
      <c r="I433" s="171">
        <f>38*(0.28+0.26+0.26)*2.4*1.1</f>
        <v>80.260000000000005</v>
      </c>
      <c r="J433" s="23" t="s">
        <v>251</v>
      </c>
    </row>
    <row r="434" spans="2:10" ht="38.25" x14ac:dyDescent="0.25">
      <c r="B434" s="48" t="s">
        <v>920</v>
      </c>
      <c r="C434" s="21">
        <f>'PLANILHA ORÇAMENTÁRIA'!C434</f>
        <v>92761</v>
      </c>
      <c r="D434" s="20" t="str">
        <f>'PLANILHA ORÇAMENTÁRIA'!D434</f>
        <v>ARMAÇÃO DE PILAR OU VIGA DE ESTRUTURA CONVENCIONAL DE CONCRETO ARMADO UTILIZANDO AÇO CA-50 DE 8,0 MM - MONTAGEM. AF_06/2022</v>
      </c>
      <c r="E434" s="445" t="s">
        <v>882</v>
      </c>
      <c r="F434" s="445"/>
      <c r="G434" s="445"/>
      <c r="H434" s="445"/>
      <c r="I434" s="171">
        <f>38*2.8*4*0.395*1.1</f>
        <v>184.92</v>
      </c>
      <c r="J434" s="23" t="s">
        <v>253</v>
      </c>
    </row>
    <row r="435" spans="2:10" ht="38.25" x14ac:dyDescent="0.25">
      <c r="B435" s="48" t="s">
        <v>921</v>
      </c>
      <c r="C435" s="21">
        <f>'PLANILHA ORÇAMENTÁRIA'!C435</f>
        <v>92759</v>
      </c>
      <c r="D435" s="20" t="str">
        <f>'PLANILHA ORÇAMENTÁRIA'!D435</f>
        <v>ARMAÇÃO DE PILAR OU VIGA DE ESTRUTURA CONVENCIONAL DE CONCRETO ARMADO UTILIZANDO AÇO CA-60 DE 5,0 MM - MONTAGEM. AF_06/2022</v>
      </c>
      <c r="E435" s="445" t="s">
        <v>870</v>
      </c>
      <c r="F435" s="445"/>
      <c r="G435" s="445"/>
      <c r="H435" s="445"/>
      <c r="I435" s="22">
        <f>(0.21+0.21+0.18+0.1)*((38*2.8)/0.2)*0.154*1.1</f>
        <v>63.084560000000003</v>
      </c>
      <c r="J435" s="23" t="s">
        <v>253</v>
      </c>
    </row>
    <row r="436" spans="2:10" x14ac:dyDescent="0.25">
      <c r="B436" s="447" t="s">
        <v>877</v>
      </c>
      <c r="C436" s="447"/>
      <c r="D436" s="447"/>
      <c r="E436" s="447"/>
      <c r="F436" s="447"/>
      <c r="G436" s="447"/>
      <c r="H436" s="447"/>
      <c r="I436" s="447"/>
      <c r="J436" s="447"/>
    </row>
    <row r="437" spans="2:10" ht="38.25" x14ac:dyDescent="0.25">
      <c r="B437" s="48" t="s">
        <v>922</v>
      </c>
      <c r="C437" s="21">
        <f>'PLANILHA ORÇAMENTÁRIA'!C442</f>
        <v>103322</v>
      </c>
      <c r="D437" s="25" t="str">
        <f>'PLANILHA ORÇAMENTÁRIA'!D437</f>
        <v>CONCRETO FCK = 25MPA, TRAÇO 1:2,3:2,7 (CIMENTO/ AREIA MÉDIA/ BRITA 1)- PREPARO MECÂNICO COM BETONEIRA 400 L. AF_07/2016</v>
      </c>
      <c r="E437" s="445" t="s">
        <v>878</v>
      </c>
      <c r="F437" s="445"/>
      <c r="G437" s="445"/>
      <c r="H437" s="445"/>
      <c r="I437" s="171">
        <f>0.14*0.14*74.51</f>
        <v>1.46</v>
      </c>
      <c r="J437" s="23" t="s">
        <v>257</v>
      </c>
    </row>
    <row r="438" spans="2:10" ht="38.25" x14ac:dyDescent="0.25">
      <c r="B438" s="48" t="s">
        <v>923</v>
      </c>
      <c r="C438" s="21">
        <f>'PLANILHA ORÇAMENTÁRIA'!C443</f>
        <v>87905</v>
      </c>
      <c r="D438" s="25" t="str">
        <f>'PLANILHA ORÇAMENTÁRIA'!D438</f>
        <v>MONTAGEM E DESMONTAGEM DE FÔRMA DE VIGA, ESCORAMENTO METÁLICO, PÉ-DIREITO SIMPLES, EM CHAPA DE MADEIRA PLASTIFICADA, 14 UTILIZAÇÕES. AF_09/2020</v>
      </c>
      <c r="E438" s="445" t="s">
        <v>886</v>
      </c>
      <c r="F438" s="445"/>
      <c r="G438" s="445"/>
      <c r="H438" s="445"/>
      <c r="I438" s="171">
        <f>(3*0.14)*74.51*1.1</f>
        <v>34.42</v>
      </c>
      <c r="J438" s="23" t="s">
        <v>251</v>
      </c>
    </row>
    <row r="439" spans="2:10" ht="38.25" x14ac:dyDescent="0.25">
      <c r="B439" s="48" t="s">
        <v>924</v>
      </c>
      <c r="C439" s="21">
        <f>'PLANILHA ORÇAMENTÁRIA'!C444</f>
        <v>88485</v>
      </c>
      <c r="D439" s="25" t="str">
        <f>'PLANILHA ORÇAMENTÁRIA'!D439</f>
        <v>ARMAÇÃO DE PILAR OU VIGA DE ESTRUTURA CONVENCIONAL DE CONCRETO ARMADO UTILIZANDO AÇO CA-50 DE 8,0 MM - MONTAGEM. AF_06/2022</v>
      </c>
      <c r="E439" s="445" t="str">
        <f>E428</f>
        <v>extensão do muro(74,51)*4vergalhões*0,395kg/m + 10%perda</v>
      </c>
      <c r="F439" s="445"/>
      <c r="G439" s="445"/>
      <c r="H439" s="445"/>
      <c r="I439" s="171">
        <f>I428</f>
        <v>129.5</v>
      </c>
      <c r="J439" s="23" t="s">
        <v>253</v>
      </c>
    </row>
    <row r="440" spans="2:10" ht="38.25" x14ac:dyDescent="0.25">
      <c r="B440" s="48" t="s">
        <v>925</v>
      </c>
      <c r="C440" s="21">
        <f>'PLANILHA ORÇAMENTÁRIA'!C445</f>
        <v>95305</v>
      </c>
      <c r="D440" s="25" t="str">
        <f>'PLANILHA ORÇAMENTÁRIA'!D440</f>
        <v>ARMAÇÃO DE PILAR OU VIGA DE ESTRUTURA CONVENCIONAL DE CONCRETO ARMADO UTILIZANDO AÇO CA-60 DE 5,0 MM - MONTAGEM. AF_06/2022</v>
      </c>
      <c r="E440" s="445" t="s">
        <v>888</v>
      </c>
      <c r="F440" s="445"/>
      <c r="G440" s="445"/>
      <c r="H440" s="445"/>
      <c r="I440" s="171">
        <f>((4*0.09)+0.1)*(74.51/0.2)*0.154</f>
        <v>26.39</v>
      </c>
      <c r="J440" s="23" t="s">
        <v>253</v>
      </c>
    </row>
    <row r="441" spans="2:10" x14ac:dyDescent="0.25">
      <c r="B441" s="447" t="s">
        <v>27</v>
      </c>
      <c r="C441" s="447"/>
      <c r="D441" s="447"/>
      <c r="E441" s="447"/>
      <c r="F441" s="447"/>
      <c r="G441" s="447"/>
      <c r="H441" s="447"/>
      <c r="I441" s="447"/>
      <c r="J441" s="447"/>
    </row>
    <row r="442" spans="2:10" ht="51" x14ac:dyDescent="0.25">
      <c r="B442" s="48" t="s">
        <v>926</v>
      </c>
      <c r="C442" s="48">
        <f>'PLANILHA ORÇAMENTÁRIA'!C442</f>
        <v>103322</v>
      </c>
      <c r="D442" s="295" t="str">
        <f>'PLANILHA ORÇAMENTÁRIA'!D442</f>
        <v>ALVENARIA DE VEDAÇÃO DE BLOCOS CERÂMICOS FURADOS NA VERTICAL DE 9X19X39 CM (ESPESSURA 9 CM) E ARGAMASSA DE ASSENTAMENTO COM PREPARO EM BETONEIRA. AF_12/2021</v>
      </c>
      <c r="E442" s="445" t="s">
        <v>913</v>
      </c>
      <c r="F442" s="445"/>
      <c r="G442" s="445"/>
      <c r="H442" s="445"/>
      <c r="I442" s="22">
        <f>74.51*2.4-(5*3*1.65)</f>
        <v>154.07400000000001</v>
      </c>
      <c r="J442" s="23" t="s">
        <v>251</v>
      </c>
    </row>
    <row r="443" spans="2:10" ht="51" x14ac:dyDescent="0.25">
      <c r="B443" s="48" t="s">
        <v>927</v>
      </c>
      <c r="C443" s="48">
        <f>'PLANILHA ORÇAMENTÁRIA'!C443</f>
        <v>87905</v>
      </c>
      <c r="D443" s="36" t="str">
        <f>'PLANILHA ORÇAMENTÁRIA'!D443</f>
        <v>CHAPISCO APLICADO EM ALVENARIA (COM PRESENÇA DE VÃOS) E ESTRUTURAS DE CONCRETO DE FACHADA, COM COLHER DE PEDREIRO. ARGAMASSA TRAÇO 1:3 COM PREPARO EM BETONEIRA 400L. AF_06/2014</v>
      </c>
      <c r="E443" s="445" t="s">
        <v>890</v>
      </c>
      <c r="F443" s="445"/>
      <c r="G443" s="445"/>
      <c r="H443" s="445"/>
      <c r="I443" s="22">
        <f>I442*2</f>
        <v>308.14800000000002</v>
      </c>
      <c r="J443" s="23" t="s">
        <v>251</v>
      </c>
    </row>
    <row r="444" spans="2:10" ht="25.5" x14ac:dyDescent="0.25">
      <c r="B444" s="48" t="s">
        <v>928</v>
      </c>
      <c r="C444" s="48">
        <f>'PLANILHA ORÇAMENTÁRIA'!C444</f>
        <v>88485</v>
      </c>
      <c r="D444" s="36" t="str">
        <f>'PLANILHA ORÇAMENTÁRIA'!D444</f>
        <v>APLICAÇÃO DE FUNDO SELADOR ACRILICO EM PAREDES, UMA DEMÃO. AF_06/2014</v>
      </c>
      <c r="E444" s="445" t="str">
        <f>E443</f>
        <v>área de alvenaria * 2faces</v>
      </c>
      <c r="F444" s="445"/>
      <c r="G444" s="445"/>
      <c r="H444" s="445"/>
      <c r="I444" s="22">
        <f>I443</f>
        <v>308.14800000000002</v>
      </c>
      <c r="J444" s="23" t="s">
        <v>251</v>
      </c>
    </row>
    <row r="445" spans="2:10" ht="25.5" x14ac:dyDescent="0.25">
      <c r="B445" s="48" t="s">
        <v>929</v>
      </c>
      <c r="C445" s="48">
        <f>'PLANILHA ORÇAMENTÁRIA'!C445</f>
        <v>95305</v>
      </c>
      <c r="D445" s="36" t="str">
        <f>'PLANILHA ORÇAMENTÁRIA'!D445</f>
        <v>TEXTURA ACRÍLICA, APLICAÇÃO MANUAL EM PAREDE, UMA DEMÃO. AF_09/2016</v>
      </c>
      <c r="E445" s="445" t="str">
        <f>E444</f>
        <v>área de alvenaria * 2faces</v>
      </c>
      <c r="F445" s="445"/>
      <c r="G445" s="445"/>
      <c r="H445" s="445"/>
      <c r="I445" s="22">
        <f>I444</f>
        <v>308.14800000000002</v>
      </c>
      <c r="J445" s="23" t="s">
        <v>251</v>
      </c>
    </row>
    <row r="446" spans="2:10" x14ac:dyDescent="0.25">
      <c r="B446" s="448"/>
      <c r="C446" s="448"/>
      <c r="D446" s="448"/>
      <c r="E446" s="448"/>
      <c r="F446" s="448"/>
      <c r="G446" s="448"/>
      <c r="H446" s="448"/>
      <c r="I446" s="448"/>
      <c r="J446" s="448"/>
    </row>
    <row r="447" spans="2:10" x14ac:dyDescent="0.25">
      <c r="B447" s="449" t="s">
        <v>914</v>
      </c>
      <c r="C447" s="449"/>
      <c r="D447" s="450" t="s">
        <v>174</v>
      </c>
      <c r="E447" s="450"/>
      <c r="F447" s="450"/>
      <c r="G447" s="450"/>
      <c r="H447" s="450"/>
      <c r="I447" s="450"/>
      <c r="J447" s="450"/>
    </row>
    <row r="448" spans="2:10" x14ac:dyDescent="0.25">
      <c r="B448" s="48" t="s">
        <v>930</v>
      </c>
      <c r="C448" s="48" t="str">
        <f>'PLANILHA ORÇAMENTÁRIA'!C448</f>
        <v>PMA CIV 003</v>
      </c>
      <c r="D448" s="20" t="str">
        <f>'PLANILHA ORÇAMENTÁRIA'!D448</f>
        <v>FORNECIMENTO E ESPALHAMENTO DE TERRA VEGETAL</v>
      </c>
      <c r="E448" s="445" t="s">
        <v>867</v>
      </c>
      <c r="F448" s="445"/>
      <c r="G448" s="445"/>
      <c r="H448" s="445"/>
      <c r="I448" s="338">
        <f>291.04*0.05</f>
        <v>14.552</v>
      </c>
      <c r="J448" s="33" t="s">
        <v>257</v>
      </c>
    </row>
    <row r="449" spans="2:10" ht="25.5" x14ac:dyDescent="0.25">
      <c r="B449" s="48" t="s">
        <v>931</v>
      </c>
      <c r="C449" s="48" t="str">
        <f>'PLANILHA ORÇAMENTÁRIA'!C449</f>
        <v>PMA CIV 004</v>
      </c>
      <c r="D449" s="24" t="str">
        <f>'PLANILHA ORÇAMENTÁRIA'!D449</f>
        <v>PLANTIO DE GRAMA ESMERALDA EM PLACAS, INCLUSIVE TRANSPORTE.</v>
      </c>
      <c r="E449" s="445" t="s">
        <v>1419</v>
      </c>
      <c r="F449" s="445"/>
      <c r="G449" s="445"/>
      <c r="H449" s="445"/>
      <c r="I449" s="338">
        <f>213.04+77.99</f>
        <v>291.02999999999997</v>
      </c>
      <c r="J449" s="33" t="s">
        <v>251</v>
      </c>
    </row>
    <row r="450" spans="2:10" x14ac:dyDescent="0.25">
      <c r="B450" s="48" t="s">
        <v>932</v>
      </c>
      <c r="C450" s="48" t="str">
        <f>'PLANILHA ORÇAMENTÁRIA'!C450</f>
        <v>PMA CIV 008</v>
      </c>
      <c r="D450" s="35" t="str">
        <f>'PLANILHA ORÇAMENTÁRIA'!D450</f>
        <v>LIMPEZA FINAL DA OBRA</v>
      </c>
      <c r="E450" s="445" t="s">
        <v>1420</v>
      </c>
      <c r="F450" s="445"/>
      <c r="G450" s="445"/>
      <c r="H450" s="445"/>
      <c r="I450" s="33">
        <f>488.9+430.67</f>
        <v>919.57</v>
      </c>
      <c r="J450" s="33" t="s">
        <v>251</v>
      </c>
    </row>
    <row r="451" spans="2:10" x14ac:dyDescent="0.25">
      <c r="B451" s="448"/>
      <c r="C451" s="448"/>
      <c r="D451" s="448"/>
      <c r="E451" s="448"/>
      <c r="F451" s="448"/>
      <c r="G451" s="448"/>
      <c r="H451" s="448"/>
      <c r="I451" s="448"/>
      <c r="J451" s="448"/>
    </row>
    <row r="452" spans="2:10" x14ac:dyDescent="0.25">
      <c r="B452" s="449" t="s">
        <v>1677</v>
      </c>
      <c r="C452" s="449"/>
      <c r="D452" s="450" t="s">
        <v>1676</v>
      </c>
      <c r="E452" s="450"/>
      <c r="F452" s="450"/>
      <c r="G452" s="450"/>
      <c r="H452" s="450"/>
      <c r="I452" s="450"/>
      <c r="J452" s="450"/>
    </row>
    <row r="453" spans="2:10" ht="38.25" x14ac:dyDescent="0.25">
      <c r="B453" s="48" t="s">
        <v>933</v>
      </c>
      <c r="C453" s="48">
        <f>'PLANILHA ORÇAMENTÁRIA'!C453</f>
        <v>95880</v>
      </c>
      <c r="D453" s="35" t="str">
        <f>'PLANILHA ORÇAMENTÁRIA'!D453</f>
        <v>TRANSPORTE COM CAMINHÃO BASCULANTE DE 18 M³, EM VIA URBANA PAVIMENTADA (JUÍNA A CASTANHEIRA: 50KM) - BRITA</v>
      </c>
      <c r="E453" s="445" t="s">
        <v>1638</v>
      </c>
      <c r="F453" s="445"/>
      <c r="G453" s="445"/>
      <c r="H453" s="445"/>
      <c r="I453" s="392">
        <f>(((3.05+7.95+59.19+114.5+20.44+14.84+6.66+0.66+0.89+14.6+2.21+16.2+0.39+6.37)*1.5)*50)</f>
        <v>20096.25</v>
      </c>
      <c r="J453" s="33" t="str">
        <f>'PLANILHA ORÇAMENTÁRIA'!E453</f>
        <v>TXKM</v>
      </c>
    </row>
    <row r="454" spans="2:10" ht="38.25" x14ac:dyDescent="0.25">
      <c r="B454" s="48" t="s">
        <v>1545</v>
      </c>
      <c r="C454" s="48">
        <f>'PLANILHA ORÇAMENTÁRIA'!C454</f>
        <v>95429</v>
      </c>
      <c r="D454" s="35" t="str">
        <f>'PLANILHA ORÇAMENTÁRIA'!D454</f>
        <v>TRANSPORTE COM CAMINHÃO BASCULANTE DE 18 M³, EM VIA URBANA EM REVESTIMENTO PRIMÁRIO (CASTANHEIRA A CONSELVAN: 249KM) - BRITA</v>
      </c>
      <c r="E454" s="445" t="s">
        <v>1637</v>
      </c>
      <c r="F454" s="445"/>
      <c r="G454" s="445"/>
      <c r="H454" s="445"/>
      <c r="I454" s="392">
        <f>((267.95*1.5)*249)</f>
        <v>100079.33</v>
      </c>
      <c r="J454" s="33" t="str">
        <f>'PLANILHA ORÇAMENTÁRIA'!E454</f>
        <v>TXKM</v>
      </c>
    </row>
    <row r="455" spans="2:10" ht="38.25" x14ac:dyDescent="0.25">
      <c r="B455" s="48" t="s">
        <v>1547</v>
      </c>
      <c r="C455" s="48">
        <f>'PLANILHA ORÇAMENTÁRIA'!C455</f>
        <v>100946</v>
      </c>
      <c r="D455" s="35" t="str">
        <f>'PLANILHA ORÇAMENTÁRIA'!D455</f>
        <v>TRANSPORTE COM CAMINHÃO CARROCERIA 9T, EM VIA URBANA EM REVESTIMENTO PRIMÁRIO (ARIPUANÃ A CONSELVAN: 80KM). AF_07/2020  - ESTRUTURA METÁLICA</v>
      </c>
      <c r="E455" s="445" t="s">
        <v>1636</v>
      </c>
      <c r="F455" s="445"/>
      <c r="G455" s="445"/>
      <c r="H455" s="445"/>
      <c r="I455" s="392">
        <f>11.92*80</f>
        <v>953.6</v>
      </c>
      <c r="J455" s="33" t="str">
        <f>'PLANILHA ORÇAMENTÁRIA'!E455</f>
        <v>TXKM</v>
      </c>
    </row>
    <row r="456" spans="2:10" ht="38.25" x14ac:dyDescent="0.25">
      <c r="B456" s="48" t="s">
        <v>1548</v>
      </c>
      <c r="C456" s="48">
        <f>'PLANILHA ORÇAMENTÁRIA'!C456</f>
        <v>95429</v>
      </c>
      <c r="D456" s="35" t="str">
        <f>'PLANILHA ORÇAMENTÁRIA'!D456</f>
        <v>TRANSPORTE COM CAMINHÃO BASCULANTE DE 18 M³, EM VIA URBANA EM REVESTIMENTO PRIMÁRIO (ARIPUANÃ A CONSELVAN: 80KM) - AREIA</v>
      </c>
      <c r="E456" s="445" t="s">
        <v>1639</v>
      </c>
      <c r="F456" s="445"/>
      <c r="G456" s="445"/>
      <c r="H456" s="445"/>
      <c r="I456" s="173">
        <f>(0.85+8.17+18.19+34.44+137.55+9.55+3.93+1.23+1.86+7.76+0.56+20.85+2.84+1.14+28.66+1.19+55.37+8.85+0.85+4.34+7.78)*1.5*80</f>
        <v>42715.199999999997</v>
      </c>
      <c r="J456" s="33" t="str">
        <f>'PLANILHA ORÇAMENTÁRIA'!E456</f>
        <v>TXKM</v>
      </c>
    </row>
    <row r="457" spans="2:10" ht="38.25" x14ac:dyDescent="0.25">
      <c r="B457" s="48" t="s">
        <v>1549</v>
      </c>
      <c r="C457" s="48">
        <f>'PLANILHA ORÇAMENTÁRIA'!C457</f>
        <v>95429</v>
      </c>
      <c r="D457" s="35" t="str">
        <f>'PLANILHA ORÇAMENTÁRIA'!D457</f>
        <v>TRANSPORTE COM CAMINHÃO BASCULANTE DE 18 M³, EM VIA URBANA EM REVESTIMENTO PRIMÁRIO (ARIPUANÃ A CONSELVAN: 80KM) - CIMENTO</v>
      </c>
      <c r="E457" s="445" t="s">
        <v>1640</v>
      </c>
      <c r="F457" s="445"/>
      <c r="G457" s="445"/>
      <c r="H457" s="445"/>
      <c r="I457" s="173">
        <f>(1.68+5.25+75.57+12.49+9.07+4.07+1.31+0.73+0.36+0.49+3.98+93.49+0.2+0.24+8.9+1.2+0.14+3.89+0.313+0.55) *80</f>
        <v>17913.84</v>
      </c>
      <c r="J457" s="33" t="str">
        <f>'PLANILHA ORÇAMENTÁRIA'!E457</f>
        <v>TXKM</v>
      </c>
    </row>
    <row r="458" spans="2:10" x14ac:dyDescent="0.25">
      <c r="B458" s="448"/>
      <c r="C458" s="448"/>
      <c r="D458" s="448"/>
      <c r="E458" s="448"/>
      <c r="F458" s="448"/>
      <c r="G458" s="448"/>
      <c r="H458" s="448"/>
      <c r="I458" s="448"/>
      <c r="J458" s="448"/>
    </row>
    <row r="460" spans="2:10" x14ac:dyDescent="0.25">
      <c r="J460" s="249" t="str">
        <f>'PLANILHA ORÇAMENTÁRIA'!I461</f>
        <v>ARIPUANÃ - MT, 04 de Abril de 2023.</v>
      </c>
    </row>
    <row r="461" spans="2:10" x14ac:dyDescent="0.25">
      <c r="D461" s="215"/>
      <c r="E461" s="215"/>
      <c r="F461" s="215"/>
      <c r="J461" s="15"/>
    </row>
    <row r="462" spans="2:10" ht="90" customHeight="1" x14ac:dyDescent="0.2">
      <c r="B462" s="396" t="str">
        <f>'PLANILHA ORÇAMENTÁRIA'!B463</f>
        <v xml:space="preserve">
FLÁVIA MARIA COSTA
ENG. CIVIL - CREA/MT 031403</v>
      </c>
      <c r="C462" s="396"/>
      <c r="D462" s="396"/>
      <c r="E462" s="396"/>
      <c r="F462" s="396"/>
      <c r="G462" s="396"/>
      <c r="H462" s="396"/>
      <c r="I462" s="396"/>
      <c r="J462" s="396"/>
    </row>
    <row r="463" spans="2:10" x14ac:dyDescent="0.25">
      <c r="D463" s="215"/>
      <c r="E463" s="215"/>
      <c r="F463" s="215"/>
      <c r="J463" s="15"/>
    </row>
  </sheetData>
  <mergeCells count="480">
    <mergeCell ref="B451:J451"/>
    <mergeCell ref="B452:C452"/>
    <mergeCell ref="D452:J452"/>
    <mergeCell ref="E453:H453"/>
    <mergeCell ref="E342:H342"/>
    <mergeCell ref="E313:H313"/>
    <mergeCell ref="E314:H314"/>
    <mergeCell ref="E315:H315"/>
    <mergeCell ref="E316:H316"/>
    <mergeCell ref="E327:H327"/>
    <mergeCell ref="E328:H328"/>
    <mergeCell ref="E329:H329"/>
    <mergeCell ref="E330:H330"/>
    <mergeCell ref="E331:H331"/>
    <mergeCell ref="E320:H320"/>
    <mergeCell ref="E321:H321"/>
    <mergeCell ref="E337:H337"/>
    <mergeCell ref="E338:H338"/>
    <mergeCell ref="E339:H339"/>
    <mergeCell ref="E440:H440"/>
    <mergeCell ref="E415:H415"/>
    <mergeCell ref="E429:H429"/>
    <mergeCell ref="E439:H439"/>
    <mergeCell ref="E438:H438"/>
    <mergeCell ref="D45:J45"/>
    <mergeCell ref="E55:H55"/>
    <mergeCell ref="B44:J44"/>
    <mergeCell ref="B46:J46"/>
    <mergeCell ref="E114:H114"/>
    <mergeCell ref="E116:H116"/>
    <mergeCell ref="E131:H131"/>
    <mergeCell ref="B86:J86"/>
    <mergeCell ref="E84:H84"/>
    <mergeCell ref="D68:J68"/>
    <mergeCell ref="E52:H52"/>
    <mergeCell ref="B71:J71"/>
    <mergeCell ref="E47:H47"/>
    <mergeCell ref="B69:J69"/>
    <mergeCell ref="B104:J104"/>
    <mergeCell ref="D105:J105"/>
    <mergeCell ref="E81:H81"/>
    <mergeCell ref="D112:J112"/>
    <mergeCell ref="E58:H58"/>
    <mergeCell ref="E59:H59"/>
    <mergeCell ref="E60:H60"/>
    <mergeCell ref="B80:J80"/>
    <mergeCell ref="E83:H83"/>
    <mergeCell ref="E94:H94"/>
    <mergeCell ref="B408:C408"/>
    <mergeCell ref="D408:J408"/>
    <mergeCell ref="E160:H160"/>
    <mergeCell ref="E161:H161"/>
    <mergeCell ref="E162:H162"/>
    <mergeCell ref="E163:H163"/>
    <mergeCell ref="E164:H164"/>
    <mergeCell ref="E165:H165"/>
    <mergeCell ref="E166:H166"/>
    <mergeCell ref="E175:H175"/>
    <mergeCell ref="E176:H176"/>
    <mergeCell ref="E177:H177"/>
    <mergeCell ref="E178:H178"/>
    <mergeCell ref="E179:H179"/>
    <mergeCell ref="E180:H180"/>
    <mergeCell ref="E207:H207"/>
    <mergeCell ref="E208:H208"/>
    <mergeCell ref="E209:H209"/>
    <mergeCell ref="E190:H190"/>
    <mergeCell ref="E191:H191"/>
    <mergeCell ref="E188:H188"/>
    <mergeCell ref="E223:H223"/>
    <mergeCell ref="E237:H237"/>
    <mergeCell ref="E249:H249"/>
    <mergeCell ref="B436:J436"/>
    <mergeCell ref="E437:H437"/>
    <mergeCell ref="E340:H340"/>
    <mergeCell ref="E108:H108"/>
    <mergeCell ref="E109:H109"/>
    <mergeCell ref="E107:H107"/>
    <mergeCell ref="D97:J97"/>
    <mergeCell ref="E336:H336"/>
    <mergeCell ref="E309:H309"/>
    <mergeCell ref="E310:H310"/>
    <mergeCell ref="E189:H189"/>
    <mergeCell ref="E251:H251"/>
    <mergeCell ref="E187:H187"/>
    <mergeCell ref="E194:H194"/>
    <mergeCell ref="E195:H195"/>
    <mergeCell ref="E196:H196"/>
    <mergeCell ref="E197:H197"/>
    <mergeCell ref="E212:H212"/>
    <mergeCell ref="B193:J193"/>
    <mergeCell ref="B216:J216"/>
    <mergeCell ref="E219:H219"/>
    <mergeCell ref="E103:H103"/>
    <mergeCell ref="E102:H102"/>
    <mergeCell ref="B111:J111"/>
    <mergeCell ref="E13:H13"/>
    <mergeCell ref="E22:H22"/>
    <mergeCell ref="B20:J20"/>
    <mergeCell ref="D21:J21"/>
    <mergeCell ref="E61:H61"/>
    <mergeCell ref="E54:H54"/>
    <mergeCell ref="E305:H305"/>
    <mergeCell ref="E306:H306"/>
    <mergeCell ref="E181:H181"/>
    <mergeCell ref="E182:H182"/>
    <mergeCell ref="E159:H159"/>
    <mergeCell ref="E141:H141"/>
    <mergeCell ref="E142:H142"/>
    <mergeCell ref="E143:H143"/>
    <mergeCell ref="E144:H144"/>
    <mergeCell ref="D146:J146"/>
    <mergeCell ref="E155:H155"/>
    <mergeCell ref="E156:H156"/>
    <mergeCell ref="E157:H157"/>
    <mergeCell ref="E153:H153"/>
    <mergeCell ref="E154:H154"/>
    <mergeCell ref="E158:H158"/>
    <mergeCell ref="B173:J173"/>
    <mergeCell ref="E100:H100"/>
    <mergeCell ref="B3:J3"/>
    <mergeCell ref="C6:E6"/>
    <mergeCell ref="C7:E7"/>
    <mergeCell ref="B8:J8"/>
    <mergeCell ref="E9:H9"/>
    <mergeCell ref="B10:J10"/>
    <mergeCell ref="D11:J11"/>
    <mergeCell ref="E12:H12"/>
    <mergeCell ref="B11:C11"/>
    <mergeCell ref="H4:J5"/>
    <mergeCell ref="H6:J7"/>
    <mergeCell ref="C4:G4"/>
    <mergeCell ref="C5:E5"/>
    <mergeCell ref="E29:H29"/>
    <mergeCell ref="E31:H31"/>
    <mergeCell ref="E74:H74"/>
    <mergeCell ref="B21:C21"/>
    <mergeCell ref="E72:H72"/>
    <mergeCell ref="B27:C27"/>
    <mergeCell ref="B56:J56"/>
    <mergeCell ref="B67:J67"/>
    <mergeCell ref="E62:H62"/>
    <mergeCell ref="E70:H70"/>
    <mergeCell ref="B68:C68"/>
    <mergeCell ref="E73:H73"/>
    <mergeCell ref="E38:H38"/>
    <mergeCell ref="E39:H39"/>
    <mergeCell ref="E23:H23"/>
    <mergeCell ref="E25:H25"/>
    <mergeCell ref="D27:J27"/>
    <mergeCell ref="E36:H36"/>
    <mergeCell ref="B63:J63"/>
    <mergeCell ref="E64:H64"/>
    <mergeCell ref="E65:H65"/>
    <mergeCell ref="E66:H66"/>
    <mergeCell ref="E51:H51"/>
    <mergeCell ref="E57:H57"/>
    <mergeCell ref="E85:H85"/>
    <mergeCell ref="E75:H75"/>
    <mergeCell ref="E78:H78"/>
    <mergeCell ref="E90:H90"/>
    <mergeCell ref="E91:H91"/>
    <mergeCell ref="E82:H82"/>
    <mergeCell ref="E101:H101"/>
    <mergeCell ref="B87:C87"/>
    <mergeCell ref="E93:H93"/>
    <mergeCell ref="E99:H99"/>
    <mergeCell ref="E79:H79"/>
    <mergeCell ref="B96:J96"/>
    <mergeCell ref="D87:J87"/>
    <mergeCell ref="E88:H88"/>
    <mergeCell ref="E89:H89"/>
    <mergeCell ref="E92:H92"/>
    <mergeCell ref="E76:H76"/>
    <mergeCell ref="E77:H77"/>
    <mergeCell ref="E14:H14"/>
    <mergeCell ref="E15:H15"/>
    <mergeCell ref="E17:H17"/>
    <mergeCell ref="E30:H30"/>
    <mergeCell ref="E50:H50"/>
    <mergeCell ref="E28:H28"/>
    <mergeCell ref="E42:H42"/>
    <mergeCell ref="E43:H43"/>
    <mergeCell ref="E53:H53"/>
    <mergeCell ref="E24:H24"/>
    <mergeCell ref="E18:H18"/>
    <mergeCell ref="E16:H16"/>
    <mergeCell ref="B48:J48"/>
    <mergeCell ref="E37:H37"/>
    <mergeCell ref="B45:C45"/>
    <mergeCell ref="E40:H40"/>
    <mergeCell ref="E49:H49"/>
    <mergeCell ref="E32:H32"/>
    <mergeCell ref="E33:H33"/>
    <mergeCell ref="E34:H34"/>
    <mergeCell ref="E35:H35"/>
    <mergeCell ref="E19:H19"/>
    <mergeCell ref="B26:J26"/>
    <mergeCell ref="E41:H41"/>
    <mergeCell ref="E448:H448"/>
    <mergeCell ref="E449:H449"/>
    <mergeCell ref="B446:J446"/>
    <mergeCell ref="E442:H442"/>
    <mergeCell ref="E443:H443"/>
    <mergeCell ref="E445:H445"/>
    <mergeCell ref="E444:H444"/>
    <mergeCell ref="E424:H424"/>
    <mergeCell ref="E115:H115"/>
    <mergeCell ref="E117:H117"/>
    <mergeCell ref="B345:J345"/>
    <mergeCell ref="B421:J421"/>
    <mergeCell ref="D422:J422"/>
    <mergeCell ref="B423:J423"/>
    <mergeCell ref="E228:H228"/>
    <mergeCell ref="E229:H229"/>
    <mergeCell ref="B225:J225"/>
    <mergeCell ref="D414:J414"/>
    <mergeCell ref="E425:H425"/>
    <mergeCell ref="E430:H430"/>
    <mergeCell ref="E252:H252"/>
    <mergeCell ref="D447:J447"/>
    <mergeCell ref="E248:H248"/>
    <mergeCell ref="E227:H227"/>
    <mergeCell ref="B458:J458"/>
    <mergeCell ref="E95:H95"/>
    <mergeCell ref="B97:C97"/>
    <mergeCell ref="B105:C105"/>
    <mergeCell ref="B146:C146"/>
    <mergeCell ref="B112:C112"/>
    <mergeCell ref="B119:C119"/>
    <mergeCell ref="B170:C170"/>
    <mergeCell ref="B414:C414"/>
    <mergeCell ref="B422:C422"/>
    <mergeCell ref="B447:C447"/>
    <mergeCell ref="B226:C226"/>
    <mergeCell ref="D226:J226"/>
    <mergeCell ref="E230:H230"/>
    <mergeCell ref="E231:H231"/>
    <mergeCell ref="B441:J441"/>
    <mergeCell ref="B431:J431"/>
    <mergeCell ref="E426:H426"/>
    <mergeCell ref="E427:H427"/>
    <mergeCell ref="E98:H98"/>
    <mergeCell ref="E106:H106"/>
    <mergeCell ref="E139:H139"/>
    <mergeCell ref="E428:H428"/>
    <mergeCell ref="E113:H113"/>
    <mergeCell ref="E450:H450"/>
    <mergeCell ref="E456:H456"/>
    <mergeCell ref="E434:H434"/>
    <mergeCell ref="E435:H435"/>
    <mergeCell ref="E432:H432"/>
    <mergeCell ref="E275:H275"/>
    <mergeCell ref="E276:H276"/>
    <mergeCell ref="E277:H277"/>
    <mergeCell ref="E278:H278"/>
    <mergeCell ref="E279:H279"/>
    <mergeCell ref="E280:H280"/>
    <mergeCell ref="E281:H281"/>
    <mergeCell ref="E282:H282"/>
    <mergeCell ref="E372:H372"/>
    <mergeCell ref="E391:H391"/>
    <mergeCell ref="E396:H396"/>
    <mergeCell ref="E397:H397"/>
    <mergeCell ref="E382:H382"/>
    <mergeCell ref="E433:H433"/>
    <mergeCell ref="E420:H420"/>
    <mergeCell ref="E341:H341"/>
    <mergeCell ref="E373:H373"/>
    <mergeCell ref="E332:H332"/>
    <mergeCell ref="E333:H333"/>
    <mergeCell ref="E121:H121"/>
    <mergeCell ref="B169:J169"/>
    <mergeCell ref="E147:H147"/>
    <mergeCell ref="B145:J145"/>
    <mergeCell ref="E148:H148"/>
    <mergeCell ref="E149:H149"/>
    <mergeCell ref="E150:H150"/>
    <mergeCell ref="B118:J118"/>
    <mergeCell ref="E167:H167"/>
    <mergeCell ref="E168:H168"/>
    <mergeCell ref="E151:H151"/>
    <mergeCell ref="E152:H152"/>
    <mergeCell ref="E125:H125"/>
    <mergeCell ref="D119:J119"/>
    <mergeCell ref="E138:H138"/>
    <mergeCell ref="E130:H130"/>
    <mergeCell ref="E140:H140"/>
    <mergeCell ref="E120:H120"/>
    <mergeCell ref="E122:H122"/>
    <mergeCell ref="E123:H123"/>
    <mergeCell ref="E124:H124"/>
    <mergeCell ref="E322:H322"/>
    <mergeCell ref="E295:H295"/>
    <mergeCell ref="E296:H296"/>
    <mergeCell ref="E297:H297"/>
    <mergeCell ref="E298:H298"/>
    <mergeCell ref="E299:H299"/>
    <mergeCell ref="E239:H239"/>
    <mergeCell ref="E241:H241"/>
    <mergeCell ref="E243:H243"/>
    <mergeCell ref="E244:H244"/>
    <mergeCell ref="E287:H287"/>
    <mergeCell ref="E307:H307"/>
    <mergeCell ref="E300:H300"/>
    <mergeCell ref="E301:H301"/>
    <mergeCell ref="E302:H302"/>
    <mergeCell ref="E266:H266"/>
    <mergeCell ref="E267:H267"/>
    <mergeCell ref="E250:H250"/>
    <mergeCell ref="E311:H311"/>
    <mergeCell ref="D170:J170"/>
    <mergeCell ref="E126:H126"/>
    <mergeCell ref="E127:H127"/>
    <mergeCell ref="E128:H128"/>
    <mergeCell ref="E129:H129"/>
    <mergeCell ref="E133:H133"/>
    <mergeCell ref="E134:H134"/>
    <mergeCell ref="E135:H135"/>
    <mergeCell ref="E136:H136"/>
    <mergeCell ref="E137:H137"/>
    <mergeCell ref="E132:H132"/>
    <mergeCell ref="E210:H210"/>
    <mergeCell ref="E262:H262"/>
    <mergeCell ref="E263:H263"/>
    <mergeCell ref="E220:H220"/>
    <mergeCell ref="E221:H221"/>
    <mergeCell ref="E222:H222"/>
    <mergeCell ref="E293:H293"/>
    <mergeCell ref="E294:H294"/>
    <mergeCell ref="E273:H273"/>
    <mergeCell ref="E271:H271"/>
    <mergeCell ref="E272:H272"/>
    <mergeCell ref="E269:H269"/>
    <mergeCell ref="E270:H270"/>
    <mergeCell ref="E274:H274"/>
    <mergeCell ref="E283:H283"/>
    <mergeCell ref="E284:H284"/>
    <mergeCell ref="E285:H285"/>
    <mergeCell ref="E286:H286"/>
    <mergeCell ref="E232:H232"/>
    <mergeCell ref="E233:H233"/>
    <mergeCell ref="E234:H234"/>
    <mergeCell ref="E268:H268"/>
    <mergeCell ref="E235:H235"/>
    <mergeCell ref="E264:H264"/>
    <mergeCell ref="E265:H265"/>
    <mergeCell ref="E253:H253"/>
    <mergeCell ref="E254:H254"/>
    <mergeCell ref="E255:H255"/>
    <mergeCell ref="E256:H256"/>
    <mergeCell ref="E257:H257"/>
    <mergeCell ref="E258:H258"/>
    <mergeCell ref="E259:H259"/>
    <mergeCell ref="E260:H260"/>
    <mergeCell ref="E261:H261"/>
    <mergeCell ref="E245:H245"/>
    <mergeCell ref="E246:H246"/>
    <mergeCell ref="E247:H247"/>
    <mergeCell ref="E236:H236"/>
    <mergeCell ref="E374:H374"/>
    <mergeCell ref="B370:J370"/>
    <mergeCell ref="B348:J348"/>
    <mergeCell ref="B357:J357"/>
    <mergeCell ref="E359:H359"/>
    <mergeCell ref="E360:H360"/>
    <mergeCell ref="E412:H412"/>
    <mergeCell ref="E312:H312"/>
    <mergeCell ref="E303:H303"/>
    <mergeCell ref="E304:H304"/>
    <mergeCell ref="E308:H308"/>
    <mergeCell ref="E362:H362"/>
    <mergeCell ref="E363:H363"/>
    <mergeCell ref="E364:H364"/>
    <mergeCell ref="B346:C346"/>
    <mergeCell ref="D346:J346"/>
    <mergeCell ref="E347:H347"/>
    <mergeCell ref="E323:H323"/>
    <mergeCell ref="E324:H324"/>
    <mergeCell ref="E325:H325"/>
    <mergeCell ref="E326:H326"/>
    <mergeCell ref="E317:H317"/>
    <mergeCell ref="E318:H318"/>
    <mergeCell ref="E319:H319"/>
    <mergeCell ref="E417:H417"/>
    <mergeCell ref="E288:H288"/>
    <mergeCell ref="E289:H289"/>
    <mergeCell ref="E290:H290"/>
    <mergeCell ref="E291:H291"/>
    <mergeCell ref="E292:H292"/>
    <mergeCell ref="E402:H402"/>
    <mergeCell ref="B407:J407"/>
    <mergeCell ref="E409:H409"/>
    <mergeCell ref="E410:H410"/>
    <mergeCell ref="B401:C401"/>
    <mergeCell ref="D401:J401"/>
    <mergeCell ref="E392:H392"/>
    <mergeCell ref="E393:H393"/>
    <mergeCell ref="E394:H394"/>
    <mergeCell ref="E395:H395"/>
    <mergeCell ref="E385:H385"/>
    <mergeCell ref="E356:H356"/>
    <mergeCell ref="E358:H358"/>
    <mergeCell ref="E334:H334"/>
    <mergeCell ref="E335:H335"/>
    <mergeCell ref="E361:H361"/>
    <mergeCell ref="E405:H405"/>
    <mergeCell ref="E406:H406"/>
    <mergeCell ref="E110:H110"/>
    <mergeCell ref="E419:H419"/>
    <mergeCell ref="E398:H398"/>
    <mergeCell ref="E399:H399"/>
    <mergeCell ref="E349:H349"/>
    <mergeCell ref="E350:H350"/>
    <mergeCell ref="E351:H351"/>
    <mergeCell ref="E352:H352"/>
    <mergeCell ref="E353:H353"/>
    <mergeCell ref="E354:H354"/>
    <mergeCell ref="E355:H355"/>
    <mergeCell ref="E365:H365"/>
    <mergeCell ref="E381:H381"/>
    <mergeCell ref="E383:H383"/>
    <mergeCell ref="E384:H384"/>
    <mergeCell ref="B400:J400"/>
    <mergeCell ref="E379:H379"/>
    <mergeCell ref="E380:H380"/>
    <mergeCell ref="B377:C377"/>
    <mergeCell ref="D377:J377"/>
    <mergeCell ref="E386:H386"/>
    <mergeCell ref="E387:H387"/>
    <mergeCell ref="E242:H242"/>
    <mergeCell ref="E411:H411"/>
    <mergeCell ref="E457:H457"/>
    <mergeCell ref="E454:H454"/>
    <mergeCell ref="E455:H455"/>
    <mergeCell ref="E238:H238"/>
    <mergeCell ref="E240:H240"/>
    <mergeCell ref="E343:H343"/>
    <mergeCell ref="E344:H344"/>
    <mergeCell ref="B462:J462"/>
    <mergeCell ref="E367:H367"/>
    <mergeCell ref="E368:H368"/>
    <mergeCell ref="E369:H369"/>
    <mergeCell ref="E388:H388"/>
    <mergeCell ref="E389:H389"/>
    <mergeCell ref="E390:H390"/>
    <mergeCell ref="B366:J366"/>
    <mergeCell ref="B376:J376"/>
    <mergeCell ref="E378:H378"/>
    <mergeCell ref="E375:H375"/>
    <mergeCell ref="E371:H371"/>
    <mergeCell ref="E418:H418"/>
    <mergeCell ref="B413:J413"/>
    <mergeCell ref="E403:H403"/>
    <mergeCell ref="E404:H404"/>
    <mergeCell ref="E416:H416"/>
    <mergeCell ref="E171:H171"/>
    <mergeCell ref="E172:H172"/>
    <mergeCell ref="E224:H224"/>
    <mergeCell ref="E214:H214"/>
    <mergeCell ref="E215:H215"/>
    <mergeCell ref="E211:H211"/>
    <mergeCell ref="E213:H213"/>
    <mergeCell ref="E217:H217"/>
    <mergeCell ref="E218:H218"/>
    <mergeCell ref="E198:H198"/>
    <mergeCell ref="E199:H199"/>
    <mergeCell ref="E200:H200"/>
    <mergeCell ref="E201:H201"/>
    <mergeCell ref="E202:H202"/>
    <mergeCell ref="E203:H203"/>
    <mergeCell ref="E204:H204"/>
    <mergeCell ref="E205:H205"/>
    <mergeCell ref="E206:H206"/>
    <mergeCell ref="E183:H183"/>
    <mergeCell ref="E185:H185"/>
    <mergeCell ref="E174:H174"/>
    <mergeCell ref="E184:H184"/>
    <mergeCell ref="E186:H186"/>
    <mergeCell ref="E192:H192"/>
  </mergeCells>
  <phoneticPr fontId="24" type="noConversion"/>
  <conditionalFormatting sqref="J402:J406">
    <cfRule type="cellIs" dxfId="602" priority="1" stopIfTrue="1" operator="lessThanOrEqual">
      <formula>0</formula>
    </cfRule>
  </conditionalFormatting>
  <pageMargins left="0.511811024" right="0.511811024" top="0.78740157499999996" bottom="0.78740157499999996" header="0.31496062000000002" footer="0.31496062000000002"/>
  <pageSetup paperSize="9" scale="57" fitToHeight="0" orientation="portrait" r:id="rId1"/>
  <ignoredErrors>
    <ignoredError sqref="D402:D406"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L613"/>
  <sheetViews>
    <sheetView topLeftCell="A307" zoomScale="110" zoomScaleNormal="110" zoomScaleSheetLayoutView="110" workbookViewId="0">
      <selection activeCell="H10" sqref="H10"/>
    </sheetView>
  </sheetViews>
  <sheetFormatPr defaultColWidth="9.140625" defaultRowHeight="12.75" x14ac:dyDescent="0.25"/>
  <cols>
    <col min="1" max="1" width="9.140625" style="38"/>
    <col min="2" max="2" width="9.85546875" style="38" customWidth="1"/>
    <col min="3" max="3" width="17.85546875" style="146" customWidth="1"/>
    <col min="4" max="4" width="50" style="38" customWidth="1"/>
    <col min="5" max="5" width="10.85546875" style="38" customWidth="1"/>
    <col min="6" max="6" width="16.42578125" style="212" customWidth="1"/>
    <col min="7" max="7" width="15.5703125" style="200" customWidth="1"/>
    <col min="8" max="8" width="15.42578125" style="199" customWidth="1"/>
    <col min="9" max="9" width="18.42578125" style="199" customWidth="1"/>
    <col min="10" max="10" width="2.42578125" style="38" customWidth="1"/>
    <col min="11" max="11" width="13.5703125" style="38" customWidth="1"/>
    <col min="12" max="12" width="10.7109375" style="38" bestFit="1" customWidth="1"/>
    <col min="13" max="13" width="27.28515625" style="38" customWidth="1"/>
    <col min="14" max="16384" width="9.140625" style="38"/>
  </cols>
  <sheetData>
    <row r="2" spans="2:9" ht="13.5" thickBot="1" x14ac:dyDescent="0.3"/>
    <row r="3" spans="2:9" ht="90" customHeight="1" thickBot="1" x14ac:dyDescent="0.3">
      <c r="B3" s="478" t="s">
        <v>779</v>
      </c>
      <c r="C3" s="479"/>
      <c r="D3" s="479"/>
      <c r="E3" s="479"/>
      <c r="F3" s="479"/>
      <c r="G3" s="479"/>
      <c r="H3" s="479"/>
      <c r="I3" s="480"/>
    </row>
    <row r="4" spans="2:9" ht="14.45" customHeight="1" x14ac:dyDescent="0.25">
      <c r="B4" s="388" t="s">
        <v>239</v>
      </c>
      <c r="C4" s="504" t="s">
        <v>1777</v>
      </c>
      <c r="D4" s="505"/>
      <c r="E4" s="505"/>
      <c r="F4" s="505"/>
      <c r="G4" s="506"/>
      <c r="H4" s="500" t="str">
        <f>'PMA ELE'!F4</f>
        <v>Coordenadas: 9°55'38"S 59°54'55"W</v>
      </c>
      <c r="I4" s="501"/>
    </row>
    <row r="5" spans="2:9" ht="13.15" customHeight="1" x14ac:dyDescent="0.25">
      <c r="B5" s="377" t="s">
        <v>240</v>
      </c>
      <c r="C5" s="423" t="s">
        <v>236</v>
      </c>
      <c r="D5" s="425"/>
      <c r="E5" s="40" t="s">
        <v>238</v>
      </c>
      <c r="F5" s="498" t="str">
        <f>'MEMO CÁLCULO'!G5</f>
        <v>526,61m²</v>
      </c>
      <c r="G5" s="499"/>
      <c r="H5" s="502"/>
      <c r="I5" s="503"/>
    </row>
    <row r="6" spans="2:9" x14ac:dyDescent="0.25">
      <c r="B6" s="377" t="s">
        <v>242</v>
      </c>
      <c r="C6" s="510" t="s">
        <v>0</v>
      </c>
      <c r="D6" s="510"/>
      <c r="E6" s="41" t="s">
        <v>1</v>
      </c>
      <c r="F6" s="511">
        <f>BDI!D20</f>
        <v>0.27860000000000001</v>
      </c>
      <c r="G6" s="512"/>
      <c r="H6" s="518" t="str">
        <f>'MEMO CÁLCULO'!H6</f>
        <v xml:space="preserve">REF.: SINAPI FEV/2023 (DESONERADA)                                      </v>
      </c>
      <c r="I6" s="519"/>
    </row>
    <row r="7" spans="2:9" x14ac:dyDescent="0.25">
      <c r="B7" s="377" t="s">
        <v>241</v>
      </c>
      <c r="C7" s="513">
        <f>I459</f>
        <v>3496715.07</v>
      </c>
      <c r="D7" s="513"/>
      <c r="E7" s="41" t="s">
        <v>2</v>
      </c>
      <c r="F7" s="514">
        <f>'MEMO CÁLCULO'!G7</f>
        <v>45020</v>
      </c>
      <c r="G7" s="515"/>
      <c r="H7" s="502"/>
      <c r="I7" s="503"/>
    </row>
    <row r="8" spans="2:9" ht="19.5" thickBot="1" x14ac:dyDescent="0.3">
      <c r="B8" s="507" t="s">
        <v>244</v>
      </c>
      <c r="C8" s="508"/>
      <c r="D8" s="508"/>
      <c r="E8" s="508"/>
      <c r="F8" s="508"/>
      <c r="G8" s="508"/>
      <c r="H8" s="508"/>
      <c r="I8" s="509"/>
    </row>
    <row r="9" spans="2:9" ht="17.25" customHeight="1" thickTop="1" x14ac:dyDescent="0.25">
      <c r="B9" s="516" t="s">
        <v>3</v>
      </c>
      <c r="C9" s="486" t="s">
        <v>799</v>
      </c>
      <c r="D9" s="488" t="s">
        <v>35</v>
      </c>
      <c r="E9" s="488" t="s">
        <v>36</v>
      </c>
      <c r="F9" s="490" t="s">
        <v>37</v>
      </c>
      <c r="G9" s="492" t="s">
        <v>38</v>
      </c>
      <c r="H9" s="493"/>
      <c r="I9" s="484" t="s">
        <v>534</v>
      </c>
    </row>
    <row r="10" spans="2:9" ht="25.5" customHeight="1" x14ac:dyDescent="0.25">
      <c r="B10" s="517"/>
      <c r="C10" s="487"/>
      <c r="D10" s="489"/>
      <c r="E10" s="489"/>
      <c r="F10" s="491"/>
      <c r="G10" s="611" t="s">
        <v>39</v>
      </c>
      <c r="H10" s="389" t="s">
        <v>40</v>
      </c>
      <c r="I10" s="485"/>
    </row>
    <row r="11" spans="2:9" x14ac:dyDescent="0.25">
      <c r="B11" s="378" t="s">
        <v>8</v>
      </c>
      <c r="C11" s="152"/>
      <c r="D11" s="456" t="s">
        <v>7</v>
      </c>
      <c r="E11" s="456"/>
      <c r="F11" s="456"/>
      <c r="G11" s="456"/>
      <c r="H11" s="456"/>
      <c r="I11" s="483"/>
    </row>
    <row r="12" spans="2:9" ht="25.5" x14ac:dyDescent="0.25">
      <c r="B12" s="379" t="s">
        <v>9</v>
      </c>
      <c r="C12" s="42" t="str">
        <f>'PMA CIV'!B9</f>
        <v>PMA CIV 001</v>
      </c>
      <c r="D12" s="20" t="str">
        <f>'PMA CIV'!C9</f>
        <v>PLACA DE OBRA EM CHAPA DE ACO GALVANIZADO - FORNECIMENTO E INSTALAÇÃO</v>
      </c>
      <c r="E12" s="48" t="s">
        <v>251</v>
      </c>
      <c r="F12" s="205">
        <f>'MEMO CÁLCULO'!I12</f>
        <v>4.5</v>
      </c>
      <c r="G12" s="178">
        <f>'PMA CIV'!H18</f>
        <v>396.67</v>
      </c>
      <c r="H12" s="44">
        <f>G12*(($F$6)+1)</f>
        <v>507.18</v>
      </c>
      <c r="I12" s="380">
        <f>H12*F12</f>
        <v>2282.31</v>
      </c>
    </row>
    <row r="13" spans="2:9" ht="38.25" x14ac:dyDescent="0.25">
      <c r="B13" s="379" t="s">
        <v>51</v>
      </c>
      <c r="C13" s="261">
        <v>93584</v>
      </c>
      <c r="D13" s="20" t="s">
        <v>807</v>
      </c>
      <c r="E13" s="48" t="s">
        <v>251</v>
      </c>
      <c r="F13" s="205">
        <f>'MEMO CÁLCULO'!I13</f>
        <v>20</v>
      </c>
      <c r="G13" s="178">
        <v>897.31</v>
      </c>
      <c r="H13" s="44">
        <f t="shared" ref="H13:H17" si="0">G13*(($F$6)+1)</f>
        <v>1147.3</v>
      </c>
      <c r="I13" s="380">
        <f t="shared" ref="I13:I17" si="1">H13*F13</f>
        <v>22946</v>
      </c>
    </row>
    <row r="14" spans="2:9" ht="38.25" x14ac:dyDescent="0.25">
      <c r="B14" s="379" t="s">
        <v>52</v>
      </c>
      <c r="C14" s="42">
        <v>93207</v>
      </c>
      <c r="D14" s="20" t="s">
        <v>808</v>
      </c>
      <c r="E14" s="48" t="s">
        <v>251</v>
      </c>
      <c r="F14" s="205">
        <f>'MEMO CÁLCULO'!I14</f>
        <v>16</v>
      </c>
      <c r="G14" s="178">
        <v>1134.9100000000001</v>
      </c>
      <c r="H14" s="44">
        <f t="shared" si="0"/>
        <v>1451.1</v>
      </c>
      <c r="I14" s="380">
        <f t="shared" si="1"/>
        <v>23217.599999999999</v>
      </c>
    </row>
    <row r="15" spans="2:9" ht="38.25" x14ac:dyDescent="0.25">
      <c r="B15" s="379" t="s">
        <v>270</v>
      </c>
      <c r="C15" s="42">
        <v>93212</v>
      </c>
      <c r="D15" s="25" t="s">
        <v>809</v>
      </c>
      <c r="E15" s="48" t="s">
        <v>251</v>
      </c>
      <c r="F15" s="205">
        <f>'MEMO CÁLCULO'!I15</f>
        <v>3</v>
      </c>
      <c r="G15" s="178">
        <v>1019.21</v>
      </c>
      <c r="H15" s="44">
        <f t="shared" si="0"/>
        <v>1303.1600000000001</v>
      </c>
      <c r="I15" s="380">
        <f t="shared" si="1"/>
        <v>3909.48</v>
      </c>
    </row>
    <row r="16" spans="2:9" ht="25.5" x14ac:dyDescent="0.25">
      <c r="B16" s="379" t="s">
        <v>284</v>
      </c>
      <c r="C16" s="42">
        <v>99058</v>
      </c>
      <c r="D16" s="25" t="s">
        <v>1063</v>
      </c>
      <c r="E16" s="48" t="s">
        <v>309</v>
      </c>
      <c r="F16" s="205">
        <f>'MEMO CÁLCULO'!I16</f>
        <v>15</v>
      </c>
      <c r="G16" s="178">
        <v>6.61</v>
      </c>
      <c r="H16" s="44">
        <f t="shared" si="0"/>
        <v>8.4499999999999993</v>
      </c>
      <c r="I16" s="380">
        <f t="shared" si="1"/>
        <v>126.75</v>
      </c>
    </row>
    <row r="17" spans="2:9" ht="38.25" x14ac:dyDescent="0.25">
      <c r="B17" s="379" t="s">
        <v>285</v>
      </c>
      <c r="C17" s="261">
        <v>99059</v>
      </c>
      <c r="D17" s="25" t="s">
        <v>269</v>
      </c>
      <c r="E17" s="48" t="s">
        <v>248</v>
      </c>
      <c r="F17" s="205">
        <f>'MEMO CÁLCULO'!I17</f>
        <v>110</v>
      </c>
      <c r="G17" s="178">
        <v>53.26</v>
      </c>
      <c r="H17" s="44">
        <f t="shared" si="0"/>
        <v>68.099999999999994</v>
      </c>
      <c r="I17" s="380">
        <f t="shared" si="1"/>
        <v>7491</v>
      </c>
    </row>
    <row r="18" spans="2:9" x14ac:dyDescent="0.25">
      <c r="B18" s="379" t="s">
        <v>286</v>
      </c>
      <c r="C18" s="42">
        <v>98459</v>
      </c>
      <c r="D18" s="20" t="s">
        <v>43</v>
      </c>
      <c r="E18" s="48" t="s">
        <v>251</v>
      </c>
      <c r="F18" s="205">
        <f>'MEMO CÁLCULO'!I18</f>
        <v>307.5</v>
      </c>
      <c r="G18" s="178">
        <v>101.18</v>
      </c>
      <c r="H18" s="44">
        <f>G18*(($F$6)+1)</f>
        <v>129.37</v>
      </c>
      <c r="I18" s="380">
        <f>H18*F18</f>
        <v>39781.279999999999</v>
      </c>
    </row>
    <row r="19" spans="2:9" ht="25.5" x14ac:dyDescent="0.25">
      <c r="B19" s="379" t="s">
        <v>1683</v>
      </c>
      <c r="C19" s="42">
        <v>94319</v>
      </c>
      <c r="D19" s="20" t="s">
        <v>1684</v>
      </c>
      <c r="E19" s="48" t="s">
        <v>257</v>
      </c>
      <c r="F19" s="205">
        <f>'MEMO CÁLCULO'!I19</f>
        <v>615</v>
      </c>
      <c r="G19" s="178">
        <v>69.930000000000007</v>
      </c>
      <c r="H19" s="44">
        <f>G19*(($F$6)+1)</f>
        <v>89.41</v>
      </c>
      <c r="I19" s="380">
        <f>H19*F19</f>
        <v>54987.15</v>
      </c>
    </row>
    <row r="20" spans="2:9" x14ac:dyDescent="0.25">
      <c r="B20" s="481" t="s">
        <v>810</v>
      </c>
      <c r="C20" s="482"/>
      <c r="D20" s="482"/>
      <c r="E20" s="482"/>
      <c r="F20" s="482"/>
      <c r="G20" s="482"/>
      <c r="H20" s="482"/>
      <c r="I20" s="381">
        <f>SUM(I12:I19)</f>
        <v>154741.57</v>
      </c>
    </row>
    <row r="21" spans="2:9" x14ac:dyDescent="0.25">
      <c r="B21" s="378" t="s">
        <v>10</v>
      </c>
      <c r="C21" s="152"/>
      <c r="D21" s="456" t="s">
        <v>53</v>
      </c>
      <c r="E21" s="456"/>
      <c r="F21" s="456"/>
      <c r="G21" s="456"/>
      <c r="H21" s="456"/>
      <c r="I21" s="483"/>
    </row>
    <row r="22" spans="2:9" ht="25.5" x14ac:dyDescent="0.25">
      <c r="B22" s="379" t="s">
        <v>12</v>
      </c>
      <c r="C22" s="21">
        <v>90778</v>
      </c>
      <c r="D22" s="24" t="s">
        <v>245</v>
      </c>
      <c r="E22" s="48" t="s">
        <v>54</v>
      </c>
      <c r="F22" s="171">
        <f>'MEMO CÁLCULO'!I22</f>
        <v>840</v>
      </c>
      <c r="G22" s="178">
        <v>106.83</v>
      </c>
      <c r="H22" s="44">
        <f>G22*(($F$6)+1)</f>
        <v>136.59</v>
      </c>
      <c r="I22" s="380">
        <f>(H22*F22)</f>
        <v>114735.6</v>
      </c>
    </row>
    <row r="23" spans="2:9" ht="25.5" x14ac:dyDescent="0.25">
      <c r="B23" s="379" t="s">
        <v>13</v>
      </c>
      <c r="C23" s="21">
        <v>90776</v>
      </c>
      <c r="D23" s="24" t="s">
        <v>806</v>
      </c>
      <c r="E23" s="48" t="s">
        <v>54</v>
      </c>
      <c r="F23" s="171">
        <f>'MEMO CÁLCULO'!I23</f>
        <v>1680</v>
      </c>
      <c r="G23" s="178">
        <v>24.76</v>
      </c>
      <c r="H23" s="44">
        <f>G23*(($F$6)+1)</f>
        <v>31.66</v>
      </c>
      <c r="I23" s="380">
        <f>(H23*F23)</f>
        <v>53188.800000000003</v>
      </c>
    </row>
    <row r="24" spans="2:9" x14ac:dyDescent="0.25">
      <c r="B24" s="379" t="s">
        <v>287</v>
      </c>
      <c r="C24" s="21">
        <v>88266</v>
      </c>
      <c r="D24" s="24" t="s">
        <v>1075</v>
      </c>
      <c r="E24" s="48" t="s">
        <v>54</v>
      </c>
      <c r="F24" s="171">
        <f>'MEMO CÁLCULO'!I24</f>
        <v>1260</v>
      </c>
      <c r="G24" s="178">
        <v>27.73</v>
      </c>
      <c r="H24" s="44">
        <f>G24*(($F$6)+1)</f>
        <v>35.46</v>
      </c>
      <c r="I24" s="380">
        <f>(H24*F24)</f>
        <v>44679.6</v>
      </c>
    </row>
    <row r="25" spans="2:9" x14ac:dyDescent="0.25">
      <c r="B25" s="379" t="s">
        <v>1074</v>
      </c>
      <c r="C25" s="21">
        <v>88326</v>
      </c>
      <c r="D25" s="24" t="s">
        <v>805</v>
      </c>
      <c r="E25" s="48" t="s">
        <v>54</v>
      </c>
      <c r="F25" s="171">
        <f>'MEMO CÁLCULO'!I25</f>
        <v>2520</v>
      </c>
      <c r="G25" s="178">
        <v>21.74</v>
      </c>
      <c r="H25" s="44">
        <f t="shared" ref="H25" si="2">G25*(($F$6)+1)</f>
        <v>27.8</v>
      </c>
      <c r="I25" s="380">
        <f t="shared" ref="I25" si="3">(H25*F25)</f>
        <v>70056</v>
      </c>
    </row>
    <row r="26" spans="2:9" x14ac:dyDescent="0.25">
      <c r="B26" s="481" t="s">
        <v>811</v>
      </c>
      <c r="C26" s="482"/>
      <c r="D26" s="482"/>
      <c r="E26" s="482"/>
      <c r="F26" s="482"/>
      <c r="G26" s="482"/>
      <c r="H26" s="482"/>
      <c r="I26" s="381">
        <f>SUM(I22:I25)</f>
        <v>282660</v>
      </c>
    </row>
    <row r="27" spans="2:9" x14ac:dyDescent="0.25">
      <c r="B27" s="378" t="s">
        <v>14</v>
      </c>
      <c r="C27" s="152"/>
      <c r="D27" s="456" t="s">
        <v>64</v>
      </c>
      <c r="E27" s="456"/>
      <c r="F27" s="456"/>
      <c r="G27" s="456"/>
      <c r="H27" s="456"/>
      <c r="I27" s="483"/>
    </row>
    <row r="28" spans="2:9" ht="25.5" x14ac:dyDescent="0.25">
      <c r="B28" s="379" t="s">
        <v>16</v>
      </c>
      <c r="C28" s="48">
        <v>97644</v>
      </c>
      <c r="D28" s="25" t="s">
        <v>55</v>
      </c>
      <c r="E28" s="48" t="s">
        <v>251</v>
      </c>
      <c r="F28" s="205">
        <f>'MEMO CÁLCULO'!I28</f>
        <v>32.130000000000003</v>
      </c>
      <c r="G28" s="178">
        <v>7.36</v>
      </c>
      <c r="H28" s="44">
        <f t="shared" ref="H28:H43" si="4">G28*(($F$6)+1)</f>
        <v>9.41</v>
      </c>
      <c r="I28" s="382">
        <f t="shared" ref="I28:I43" si="5">H28*F28</f>
        <v>302.33999999999997</v>
      </c>
    </row>
    <row r="29" spans="2:9" ht="25.5" x14ac:dyDescent="0.25">
      <c r="B29" s="379" t="s">
        <v>17</v>
      </c>
      <c r="C29" s="48">
        <v>97645</v>
      </c>
      <c r="D29" s="25" t="s">
        <v>56</v>
      </c>
      <c r="E29" s="48" t="s">
        <v>251</v>
      </c>
      <c r="F29" s="205">
        <f>'MEMO CÁLCULO'!I29</f>
        <v>34.799999999999997</v>
      </c>
      <c r="G29" s="178">
        <v>28.17</v>
      </c>
      <c r="H29" s="44">
        <f t="shared" si="4"/>
        <v>36.020000000000003</v>
      </c>
      <c r="I29" s="382">
        <f t="shared" si="5"/>
        <v>1253.5</v>
      </c>
    </row>
    <row r="30" spans="2:9" ht="38.25" x14ac:dyDescent="0.25">
      <c r="B30" s="379" t="s">
        <v>18</v>
      </c>
      <c r="C30" s="48">
        <v>97642</v>
      </c>
      <c r="D30" s="25" t="s">
        <v>818</v>
      </c>
      <c r="E30" s="48" t="s">
        <v>251</v>
      </c>
      <c r="F30" s="205">
        <f>'MEMO CÁLCULO'!I30</f>
        <v>330.76</v>
      </c>
      <c r="G30" s="178">
        <v>2.29</v>
      </c>
      <c r="H30" s="44">
        <f t="shared" si="4"/>
        <v>2.93</v>
      </c>
      <c r="I30" s="382">
        <f>H30*F30</f>
        <v>969.13</v>
      </c>
    </row>
    <row r="31" spans="2:9" ht="38.25" x14ac:dyDescent="0.25">
      <c r="B31" s="379" t="s">
        <v>19</v>
      </c>
      <c r="C31" s="48">
        <v>97650</v>
      </c>
      <c r="D31" s="25" t="s">
        <v>265</v>
      </c>
      <c r="E31" s="48" t="s">
        <v>251</v>
      </c>
      <c r="F31" s="205">
        <f>'MEMO CÁLCULO'!I31</f>
        <v>413.24</v>
      </c>
      <c r="G31" s="178">
        <v>5.88</v>
      </c>
      <c r="H31" s="44">
        <f t="shared" si="4"/>
        <v>7.52</v>
      </c>
      <c r="I31" s="382">
        <f t="shared" si="5"/>
        <v>3107.56</v>
      </c>
    </row>
    <row r="32" spans="2:9" ht="25.5" x14ac:dyDescent="0.25">
      <c r="B32" s="379" t="s">
        <v>20</v>
      </c>
      <c r="C32" s="48">
        <v>97640</v>
      </c>
      <c r="D32" s="25" t="s">
        <v>817</v>
      </c>
      <c r="E32" s="48" t="s">
        <v>251</v>
      </c>
      <c r="F32" s="205">
        <f>'MEMO CÁLCULO'!I32</f>
        <v>330.76</v>
      </c>
      <c r="G32" s="178">
        <v>1.28</v>
      </c>
      <c r="H32" s="44">
        <f t="shared" si="4"/>
        <v>1.64</v>
      </c>
      <c r="I32" s="382">
        <f>H32*F32</f>
        <v>542.45000000000005</v>
      </c>
    </row>
    <row r="33" spans="2:9" ht="25.5" x14ac:dyDescent="0.25">
      <c r="B33" s="379" t="s">
        <v>192</v>
      </c>
      <c r="C33" s="48">
        <v>97647</v>
      </c>
      <c r="D33" s="25" t="s">
        <v>819</v>
      </c>
      <c r="E33" s="48" t="s">
        <v>251</v>
      </c>
      <c r="F33" s="205">
        <f>'MEMO CÁLCULO'!I33</f>
        <v>413.24</v>
      </c>
      <c r="G33" s="178">
        <v>2.74</v>
      </c>
      <c r="H33" s="44">
        <f t="shared" si="4"/>
        <v>3.5</v>
      </c>
      <c r="I33" s="382">
        <f t="shared" si="5"/>
        <v>1446.34</v>
      </c>
    </row>
    <row r="34" spans="2:9" ht="25.5" x14ac:dyDescent="0.25">
      <c r="B34" s="379" t="s">
        <v>193</v>
      </c>
      <c r="C34" s="48">
        <v>97663</v>
      </c>
      <c r="D34" s="25" t="s">
        <v>57</v>
      </c>
      <c r="E34" s="48" t="s">
        <v>309</v>
      </c>
      <c r="F34" s="205">
        <f>'MEMO CÁLCULO'!I34</f>
        <v>31</v>
      </c>
      <c r="G34" s="178">
        <v>9.8000000000000007</v>
      </c>
      <c r="H34" s="44">
        <f t="shared" si="4"/>
        <v>12.53</v>
      </c>
      <c r="I34" s="382">
        <f t="shared" si="5"/>
        <v>388.43</v>
      </c>
    </row>
    <row r="35" spans="2:9" ht="25.5" x14ac:dyDescent="0.25">
      <c r="B35" s="379" t="s">
        <v>194</v>
      </c>
      <c r="C35" s="48">
        <v>97666</v>
      </c>
      <c r="D35" s="25" t="s">
        <v>58</v>
      </c>
      <c r="E35" s="48" t="s">
        <v>309</v>
      </c>
      <c r="F35" s="205">
        <f>'MEMO CÁLCULO'!I35</f>
        <v>21</v>
      </c>
      <c r="G35" s="178">
        <v>7.14</v>
      </c>
      <c r="H35" s="44">
        <f t="shared" si="4"/>
        <v>9.1300000000000008</v>
      </c>
      <c r="I35" s="382">
        <f t="shared" si="5"/>
        <v>191.73</v>
      </c>
    </row>
    <row r="36" spans="2:9" ht="38.25" x14ac:dyDescent="0.25">
      <c r="B36" s="379" t="s">
        <v>195</v>
      </c>
      <c r="C36" s="48">
        <v>97660</v>
      </c>
      <c r="D36" s="25" t="s">
        <v>59</v>
      </c>
      <c r="E36" s="48" t="s">
        <v>309</v>
      </c>
      <c r="F36" s="205">
        <f>'MEMO CÁLCULO'!I36</f>
        <v>78</v>
      </c>
      <c r="G36" s="178">
        <v>0.53</v>
      </c>
      <c r="H36" s="44">
        <f t="shared" si="4"/>
        <v>0.68</v>
      </c>
      <c r="I36" s="382">
        <f t="shared" si="5"/>
        <v>53.04</v>
      </c>
    </row>
    <row r="37" spans="2:9" ht="25.5" x14ac:dyDescent="0.25">
      <c r="B37" s="379" t="s">
        <v>196</v>
      </c>
      <c r="C37" s="48">
        <v>97661</v>
      </c>
      <c r="D37" s="25" t="s">
        <v>60</v>
      </c>
      <c r="E37" s="48" t="s">
        <v>248</v>
      </c>
      <c r="F37" s="205">
        <f>'MEMO CÁLCULO'!I37</f>
        <v>1766.36</v>
      </c>
      <c r="G37" s="178">
        <v>0.53</v>
      </c>
      <c r="H37" s="44">
        <f t="shared" si="4"/>
        <v>0.68</v>
      </c>
      <c r="I37" s="382">
        <f t="shared" si="5"/>
        <v>1201.1199999999999</v>
      </c>
    </row>
    <row r="38" spans="2:9" ht="38.25" x14ac:dyDescent="0.25">
      <c r="B38" s="379" t="s">
        <v>197</v>
      </c>
      <c r="C38" s="21">
        <v>97622</v>
      </c>
      <c r="D38" s="25" t="s">
        <v>271</v>
      </c>
      <c r="E38" s="48" t="s">
        <v>257</v>
      </c>
      <c r="F38" s="205">
        <f>'MEMO CÁLCULO'!I38</f>
        <v>101.24</v>
      </c>
      <c r="G38" s="178">
        <v>45.4</v>
      </c>
      <c r="H38" s="44">
        <f t="shared" si="4"/>
        <v>58.05</v>
      </c>
      <c r="I38" s="382">
        <f t="shared" si="5"/>
        <v>5876.98</v>
      </c>
    </row>
    <row r="39" spans="2:9" ht="38.25" x14ac:dyDescent="0.25">
      <c r="B39" s="379" t="s">
        <v>198</v>
      </c>
      <c r="C39" s="48">
        <v>97626</v>
      </c>
      <c r="D39" s="25" t="s">
        <v>62</v>
      </c>
      <c r="E39" s="48" t="s">
        <v>257</v>
      </c>
      <c r="F39" s="205">
        <f>'MEMO CÁLCULO'!I39</f>
        <v>10.74</v>
      </c>
      <c r="G39" s="178">
        <v>490.54</v>
      </c>
      <c r="H39" s="44">
        <f t="shared" si="4"/>
        <v>627.20000000000005</v>
      </c>
      <c r="I39" s="382">
        <f t="shared" si="5"/>
        <v>6736.13</v>
      </c>
    </row>
    <row r="40" spans="2:9" ht="25.5" x14ac:dyDescent="0.25">
      <c r="B40" s="379" t="s">
        <v>199</v>
      </c>
      <c r="C40" s="48">
        <v>97632</v>
      </c>
      <c r="D40" s="25" t="s">
        <v>63</v>
      </c>
      <c r="E40" s="48" t="s">
        <v>248</v>
      </c>
      <c r="F40" s="205">
        <f>'MEMO CÁLCULO'!I40</f>
        <v>232.71</v>
      </c>
      <c r="G40" s="178">
        <v>2.06</v>
      </c>
      <c r="H40" s="44">
        <f t="shared" si="4"/>
        <v>2.63</v>
      </c>
      <c r="I40" s="382">
        <f t="shared" si="5"/>
        <v>612.03</v>
      </c>
    </row>
    <row r="41" spans="2:9" ht="25.5" x14ac:dyDescent="0.25">
      <c r="B41" s="379" t="s">
        <v>200</v>
      </c>
      <c r="C41" s="48">
        <v>97633</v>
      </c>
      <c r="D41" s="25" t="s">
        <v>61</v>
      </c>
      <c r="E41" s="48" t="s">
        <v>251</v>
      </c>
      <c r="F41" s="205">
        <f>'MEMO CÁLCULO'!I41</f>
        <v>163.01</v>
      </c>
      <c r="G41" s="178">
        <v>18.07</v>
      </c>
      <c r="H41" s="44">
        <f t="shared" si="4"/>
        <v>23.1</v>
      </c>
      <c r="I41" s="382">
        <f t="shared" si="5"/>
        <v>3765.53</v>
      </c>
    </row>
    <row r="42" spans="2:9" ht="51" x14ac:dyDescent="0.25">
      <c r="B42" s="379" t="s">
        <v>847</v>
      </c>
      <c r="C42" s="48">
        <v>100981</v>
      </c>
      <c r="D42" s="25" t="s">
        <v>848</v>
      </c>
      <c r="E42" s="48" t="s">
        <v>257</v>
      </c>
      <c r="F42" s="205">
        <f>'MEMO CÁLCULO'!I42</f>
        <v>246.97</v>
      </c>
      <c r="G42" s="178">
        <v>8.36</v>
      </c>
      <c r="H42" s="44">
        <f t="shared" si="4"/>
        <v>10.69</v>
      </c>
      <c r="I42" s="382">
        <f t="shared" si="5"/>
        <v>2640.11</v>
      </c>
    </row>
    <row r="43" spans="2:9" ht="25.5" x14ac:dyDescent="0.25">
      <c r="B43" s="379" t="s">
        <v>850</v>
      </c>
      <c r="C43" s="48">
        <v>97912</v>
      </c>
      <c r="D43" s="25" t="s">
        <v>853</v>
      </c>
      <c r="E43" s="48" t="s">
        <v>851</v>
      </c>
      <c r="F43" s="205">
        <f>'MEMO CÁLCULO'!I43</f>
        <v>1975.72</v>
      </c>
      <c r="G43" s="178">
        <v>3.4</v>
      </c>
      <c r="H43" s="44">
        <f t="shared" si="4"/>
        <v>4.3499999999999996</v>
      </c>
      <c r="I43" s="382">
        <f t="shared" si="5"/>
        <v>8594.3799999999992</v>
      </c>
    </row>
    <row r="44" spans="2:9" x14ac:dyDescent="0.25">
      <c r="B44" s="481" t="s">
        <v>812</v>
      </c>
      <c r="C44" s="482"/>
      <c r="D44" s="482"/>
      <c r="E44" s="482"/>
      <c r="F44" s="482"/>
      <c r="G44" s="482"/>
      <c r="H44" s="482"/>
      <c r="I44" s="381">
        <f>SUM(I28:I43)</f>
        <v>37680.800000000003</v>
      </c>
    </row>
    <row r="45" spans="2:9" x14ac:dyDescent="0.25">
      <c r="B45" s="378" t="s">
        <v>21</v>
      </c>
      <c r="C45" s="152"/>
      <c r="D45" s="456" t="s">
        <v>11</v>
      </c>
      <c r="E45" s="456"/>
      <c r="F45" s="456"/>
      <c r="G45" s="456"/>
      <c r="H45" s="456"/>
      <c r="I45" s="483"/>
    </row>
    <row r="46" spans="2:9" x14ac:dyDescent="0.25">
      <c r="B46" s="495" t="s">
        <v>1064</v>
      </c>
      <c r="C46" s="447"/>
      <c r="D46" s="447"/>
      <c r="E46" s="447"/>
      <c r="F46" s="447"/>
      <c r="G46" s="447"/>
      <c r="H46" s="447"/>
      <c r="I46" s="496"/>
    </row>
    <row r="47" spans="2:9" ht="42" customHeight="1" x14ac:dyDescent="0.25">
      <c r="B47" s="383" t="s">
        <v>23</v>
      </c>
      <c r="C47" s="21">
        <v>101176</v>
      </c>
      <c r="D47" s="25" t="s">
        <v>1065</v>
      </c>
      <c r="E47" s="85" t="s">
        <v>248</v>
      </c>
      <c r="F47" s="206">
        <f>6*10</f>
        <v>60</v>
      </c>
      <c r="G47" s="204">
        <v>147.28</v>
      </c>
      <c r="H47" s="44">
        <f t="shared" ref="H47" si="6">G47*(($F$6)+1)</f>
        <v>188.31</v>
      </c>
      <c r="I47" s="380">
        <f t="shared" ref="I47" si="7">TRUNC(H47*F47,2)</f>
        <v>11298.6</v>
      </c>
    </row>
    <row r="48" spans="2:9" x14ac:dyDescent="0.25">
      <c r="B48" s="495" t="s">
        <v>15</v>
      </c>
      <c r="C48" s="447"/>
      <c r="D48" s="447"/>
      <c r="E48" s="447"/>
      <c r="F48" s="447"/>
      <c r="G48" s="447"/>
      <c r="H48" s="447"/>
      <c r="I48" s="496"/>
    </row>
    <row r="49" spans="2:9" ht="38.25" x14ac:dyDescent="0.25">
      <c r="B49" s="383" t="s">
        <v>24</v>
      </c>
      <c r="C49" s="21">
        <v>96527</v>
      </c>
      <c r="D49" s="25" t="s">
        <v>871</v>
      </c>
      <c r="E49" s="85" t="s">
        <v>257</v>
      </c>
      <c r="F49" s="206">
        <f>(((154.27/2)/0.35)*0.1*0.35)+F51</f>
        <v>19.37</v>
      </c>
      <c r="G49" s="204">
        <v>103.92</v>
      </c>
      <c r="H49" s="44">
        <f t="shared" ref="H49:H55" si="8">G49*(($F$6)+1)</f>
        <v>132.87</v>
      </c>
      <c r="I49" s="380">
        <f t="shared" ref="I49:I50" si="9">TRUNC(H49*F49,2)</f>
        <v>2573.69</v>
      </c>
    </row>
    <row r="50" spans="2:9" ht="51" x14ac:dyDescent="0.25">
      <c r="B50" s="383" t="s">
        <v>25</v>
      </c>
      <c r="C50" s="21">
        <v>96542</v>
      </c>
      <c r="D50" s="25" t="s">
        <v>1037</v>
      </c>
      <c r="E50" s="85" t="s">
        <v>251</v>
      </c>
      <c r="F50" s="168">
        <f>154.27/2</f>
        <v>77.14</v>
      </c>
      <c r="G50" s="204">
        <v>91.21</v>
      </c>
      <c r="H50" s="44">
        <f t="shared" si="8"/>
        <v>116.62</v>
      </c>
      <c r="I50" s="380">
        <f t="shared" si="9"/>
        <v>8996.06</v>
      </c>
    </row>
    <row r="51" spans="2:9" ht="51" x14ac:dyDescent="0.25">
      <c r="B51" s="383" t="s">
        <v>201</v>
      </c>
      <c r="C51" s="21">
        <v>96555</v>
      </c>
      <c r="D51" s="26" t="s">
        <v>1036</v>
      </c>
      <c r="E51" s="48" t="s">
        <v>257</v>
      </c>
      <c r="F51" s="205">
        <v>11.66</v>
      </c>
      <c r="G51" s="178">
        <v>767.16</v>
      </c>
      <c r="H51" s="44">
        <f>G51*(($F$6)+1)</f>
        <v>980.89</v>
      </c>
      <c r="I51" s="380">
        <f>TRUNC(H51*F51,2)</f>
        <v>11437.17</v>
      </c>
    </row>
    <row r="52" spans="2:9" ht="38.25" x14ac:dyDescent="0.25">
      <c r="B52" s="383" t="s">
        <v>202</v>
      </c>
      <c r="C52" s="21">
        <v>96543</v>
      </c>
      <c r="D52" s="29" t="s">
        <v>880</v>
      </c>
      <c r="E52" s="48" t="s">
        <v>253</v>
      </c>
      <c r="F52" s="205">
        <v>168.3</v>
      </c>
      <c r="G52" s="178">
        <v>18.559999999999999</v>
      </c>
      <c r="H52" s="44">
        <f t="shared" si="8"/>
        <v>23.73</v>
      </c>
      <c r="I52" s="380">
        <f t="shared" ref="I52:I62" si="10">TRUNC(H52*F52,2)</f>
        <v>3993.75</v>
      </c>
    </row>
    <row r="53" spans="2:9" ht="38.25" x14ac:dyDescent="0.25">
      <c r="B53" s="383" t="s">
        <v>203</v>
      </c>
      <c r="C53" s="21">
        <v>96544</v>
      </c>
      <c r="D53" s="29" t="s">
        <v>1038</v>
      </c>
      <c r="E53" s="48" t="s">
        <v>253</v>
      </c>
      <c r="F53" s="205">
        <v>1.7</v>
      </c>
      <c r="G53" s="178">
        <v>17.78</v>
      </c>
      <c r="H53" s="44">
        <f t="shared" si="8"/>
        <v>22.73</v>
      </c>
      <c r="I53" s="380">
        <f t="shared" si="10"/>
        <v>38.64</v>
      </c>
    </row>
    <row r="54" spans="2:9" ht="38.25" x14ac:dyDescent="0.25">
      <c r="B54" s="383" t="s">
        <v>231</v>
      </c>
      <c r="C54" s="21">
        <v>96545</v>
      </c>
      <c r="D54" s="29" t="s">
        <v>288</v>
      </c>
      <c r="E54" s="48" t="s">
        <v>253</v>
      </c>
      <c r="F54" s="205">
        <v>304</v>
      </c>
      <c r="G54" s="178">
        <v>16.87</v>
      </c>
      <c r="H54" s="44">
        <f t="shared" si="8"/>
        <v>21.57</v>
      </c>
      <c r="I54" s="380">
        <f t="shared" si="10"/>
        <v>6557.28</v>
      </c>
    </row>
    <row r="55" spans="2:9" ht="25.5" x14ac:dyDescent="0.25">
      <c r="B55" s="383" t="s">
        <v>232</v>
      </c>
      <c r="C55" s="21">
        <v>98557</v>
      </c>
      <c r="D55" s="30" t="s">
        <v>892</v>
      </c>
      <c r="E55" s="48" t="s">
        <v>251</v>
      </c>
      <c r="F55" s="205">
        <f>F50</f>
        <v>77.14</v>
      </c>
      <c r="G55" s="178">
        <v>74.42</v>
      </c>
      <c r="H55" s="44">
        <f t="shared" si="8"/>
        <v>95.15</v>
      </c>
      <c r="I55" s="380">
        <f t="shared" si="10"/>
        <v>7339.87</v>
      </c>
    </row>
    <row r="56" spans="2:9" x14ac:dyDescent="0.25">
      <c r="B56" s="495" t="s">
        <v>1035</v>
      </c>
      <c r="C56" s="447"/>
      <c r="D56" s="447"/>
      <c r="E56" s="447"/>
      <c r="F56" s="447"/>
      <c r="G56" s="447"/>
      <c r="H56" s="447"/>
      <c r="I56" s="496"/>
    </row>
    <row r="57" spans="2:9" ht="38.25" x14ac:dyDescent="0.25">
      <c r="B57" s="383" t="s">
        <v>1363</v>
      </c>
      <c r="C57" s="21">
        <v>101116</v>
      </c>
      <c r="D57" s="25" t="s">
        <v>1044</v>
      </c>
      <c r="E57" s="27" t="s">
        <v>257</v>
      </c>
      <c r="F57" s="205">
        <f>F62</f>
        <v>183.34</v>
      </c>
      <c r="G57" s="178">
        <v>1.93</v>
      </c>
      <c r="H57" s="44">
        <f t="shared" ref="H57:H62" si="11">G57*(($F$6)+1)</f>
        <v>2.4700000000000002</v>
      </c>
      <c r="I57" s="380">
        <f t="shared" si="10"/>
        <v>452.84</v>
      </c>
    </row>
    <row r="58" spans="2:9" ht="51" x14ac:dyDescent="0.25">
      <c r="B58" s="383" t="s">
        <v>1364</v>
      </c>
      <c r="C58" s="21">
        <v>97083</v>
      </c>
      <c r="D58" s="30" t="s">
        <v>1041</v>
      </c>
      <c r="E58" s="48" t="s">
        <v>251</v>
      </c>
      <c r="F58" s="205">
        <f>F60</f>
        <v>523.83000000000004</v>
      </c>
      <c r="G58" s="178">
        <v>2.71</v>
      </c>
      <c r="H58" s="44">
        <f t="shared" si="11"/>
        <v>3.47</v>
      </c>
      <c r="I58" s="380">
        <f t="shared" si="10"/>
        <v>1817.69</v>
      </c>
    </row>
    <row r="59" spans="2:9" ht="38.25" x14ac:dyDescent="0.25">
      <c r="B59" s="383" t="s">
        <v>1365</v>
      </c>
      <c r="C59" s="21">
        <v>96624</v>
      </c>
      <c r="D59" s="30" t="s">
        <v>1040</v>
      </c>
      <c r="E59" s="48" t="s">
        <v>257</v>
      </c>
      <c r="F59" s="205">
        <f>F60*0.1</f>
        <v>52.38</v>
      </c>
      <c r="G59" s="178">
        <v>156.68</v>
      </c>
      <c r="H59" s="44">
        <f t="shared" si="11"/>
        <v>200.33</v>
      </c>
      <c r="I59" s="380">
        <f t="shared" si="10"/>
        <v>10493.28</v>
      </c>
    </row>
    <row r="60" spans="2:9" ht="38.25" x14ac:dyDescent="0.25">
      <c r="B60" s="383" t="s">
        <v>1366</v>
      </c>
      <c r="C60" s="21">
        <v>97087</v>
      </c>
      <c r="D60" s="25" t="s">
        <v>1043</v>
      </c>
      <c r="E60" s="27" t="s">
        <v>251</v>
      </c>
      <c r="F60" s="205">
        <f>F62/0.35</f>
        <v>523.83000000000004</v>
      </c>
      <c r="G60" s="178">
        <v>1.79</v>
      </c>
      <c r="H60" s="44">
        <f t="shared" si="11"/>
        <v>2.29</v>
      </c>
      <c r="I60" s="380">
        <f t="shared" si="10"/>
        <v>1199.57</v>
      </c>
    </row>
    <row r="61" spans="2:9" ht="38.25" x14ac:dyDescent="0.25">
      <c r="B61" s="383" t="s">
        <v>1367</v>
      </c>
      <c r="C61" s="21">
        <v>92770</v>
      </c>
      <c r="D61" s="30" t="s">
        <v>1039</v>
      </c>
      <c r="E61" s="48" t="s">
        <v>253</v>
      </c>
      <c r="F61" s="205">
        <f>2*4702.3</f>
        <v>9404.6</v>
      </c>
      <c r="G61" s="178">
        <v>14.71</v>
      </c>
      <c r="H61" s="44">
        <f t="shared" si="11"/>
        <v>18.809999999999999</v>
      </c>
      <c r="I61" s="380">
        <f t="shared" si="10"/>
        <v>176900.52</v>
      </c>
    </row>
    <row r="62" spans="2:9" ht="38.25" x14ac:dyDescent="0.25">
      <c r="B62" s="383" t="s">
        <v>1368</v>
      </c>
      <c r="C62" s="21">
        <v>97096</v>
      </c>
      <c r="D62" s="30" t="s">
        <v>1042</v>
      </c>
      <c r="E62" s="48" t="s">
        <v>257</v>
      </c>
      <c r="F62" s="205">
        <v>183.34</v>
      </c>
      <c r="G62" s="178">
        <v>854.74</v>
      </c>
      <c r="H62" s="44">
        <f t="shared" si="11"/>
        <v>1092.8699999999999</v>
      </c>
      <c r="I62" s="380">
        <f t="shared" si="10"/>
        <v>200366.78</v>
      </c>
    </row>
    <row r="63" spans="2:9" x14ac:dyDescent="0.25">
      <c r="B63" s="495" t="s">
        <v>1066</v>
      </c>
      <c r="C63" s="447"/>
      <c r="D63" s="447"/>
      <c r="E63" s="447"/>
      <c r="F63" s="447"/>
      <c r="G63" s="447"/>
      <c r="H63" s="447"/>
      <c r="I63" s="496"/>
    </row>
    <row r="64" spans="2:9" ht="25.5" x14ac:dyDescent="0.25">
      <c r="B64" s="383" t="s">
        <v>1369</v>
      </c>
      <c r="C64" s="21">
        <v>92882</v>
      </c>
      <c r="D64" s="25" t="s">
        <v>1067</v>
      </c>
      <c r="E64" s="27" t="s">
        <v>253</v>
      </c>
      <c r="F64" s="205">
        <f>((148*0.306)+(904*0.276)+(45*0.276)+(20*0.306))*0.245*1.1</f>
        <v>84.44</v>
      </c>
      <c r="G64" s="178">
        <v>15.1</v>
      </c>
      <c r="H64" s="44">
        <f t="shared" ref="H64:H66" si="12">G64*(($F$6)+1)</f>
        <v>19.309999999999999</v>
      </c>
      <c r="I64" s="380">
        <f t="shared" ref="I64:I66" si="13">TRUNC(H64*F64,2)</f>
        <v>1630.53</v>
      </c>
    </row>
    <row r="65" spans="2:9" ht="38.25" x14ac:dyDescent="0.25">
      <c r="B65" s="383" t="s">
        <v>1370</v>
      </c>
      <c r="C65" s="21">
        <v>40424</v>
      </c>
      <c r="D65" s="30" t="s">
        <v>1068</v>
      </c>
      <c r="E65" s="48" t="s">
        <v>253</v>
      </c>
      <c r="F65" s="205">
        <f>37.29*((0.385*0.025)+(0.505*0.025))*1.1</f>
        <v>0.91</v>
      </c>
      <c r="G65" s="178">
        <v>10.95</v>
      </c>
      <c r="H65" s="44">
        <f t="shared" si="12"/>
        <v>14</v>
      </c>
      <c r="I65" s="380">
        <f t="shared" si="13"/>
        <v>12.74</v>
      </c>
    </row>
    <row r="66" spans="2:9" ht="25.5" x14ac:dyDescent="0.25">
      <c r="B66" s="383" t="s">
        <v>1371</v>
      </c>
      <c r="C66" s="21">
        <v>98746</v>
      </c>
      <c r="D66" s="51" t="s">
        <v>1069</v>
      </c>
      <c r="E66" s="21" t="s">
        <v>248</v>
      </c>
      <c r="F66" s="205">
        <f>(148+904+45+20)*0.0063*1.1</f>
        <v>7.74</v>
      </c>
      <c r="G66" s="178">
        <v>52.9</v>
      </c>
      <c r="H66" s="44">
        <f t="shared" si="12"/>
        <v>67.64</v>
      </c>
      <c r="I66" s="380">
        <f t="shared" si="13"/>
        <v>523.53</v>
      </c>
    </row>
    <row r="67" spans="2:9" x14ac:dyDescent="0.25">
      <c r="B67" s="481" t="s">
        <v>1668</v>
      </c>
      <c r="C67" s="482"/>
      <c r="D67" s="482"/>
      <c r="E67" s="482"/>
      <c r="F67" s="482"/>
      <c r="G67" s="482"/>
      <c r="H67" s="482"/>
      <c r="I67" s="381">
        <f>SUM(I47:I66)</f>
        <v>445632.54</v>
      </c>
    </row>
    <row r="68" spans="2:9" x14ac:dyDescent="0.25">
      <c r="B68" s="378" t="s">
        <v>26</v>
      </c>
      <c r="C68" s="339"/>
      <c r="D68" s="456" t="s">
        <v>22</v>
      </c>
      <c r="E68" s="456"/>
      <c r="F68" s="456"/>
      <c r="G68" s="456"/>
      <c r="H68" s="456"/>
      <c r="I68" s="483"/>
    </row>
    <row r="69" spans="2:9" x14ac:dyDescent="0.25">
      <c r="B69" s="495" t="s">
        <v>695</v>
      </c>
      <c r="C69" s="447"/>
      <c r="D69" s="447"/>
      <c r="E69" s="447"/>
      <c r="F69" s="447"/>
      <c r="G69" s="447"/>
      <c r="H69" s="447"/>
      <c r="I69" s="496"/>
    </row>
    <row r="70" spans="2:9" ht="38.25" x14ac:dyDescent="0.25">
      <c r="B70" s="379" t="s">
        <v>524</v>
      </c>
      <c r="C70" s="21" t="str">
        <f>'PMA CIV'!B108</f>
        <v>PMA CIV 013</v>
      </c>
      <c r="D70" s="340" t="str">
        <f>'PMA CIV'!C108</f>
        <v>LAJE PRÉ-MOLDADA UNIDIRECIONAL, BIAPOIADA, ENCHIMENTO EM EPS, VIGOTA TRELIÇADA, ALTURA TOTAL DA LAJE (ENCHIMENTO+CAPA) = (8CM+7CM)</v>
      </c>
      <c r="E70" s="48" t="s">
        <v>251</v>
      </c>
      <c r="F70" s="207">
        <f>28.02/0.07</f>
        <v>400.29</v>
      </c>
      <c r="G70" s="178">
        <f>'PMA CIV'!H119</f>
        <v>181.74</v>
      </c>
      <c r="H70" s="44">
        <f>G70*($F$6+1)</f>
        <v>232.37</v>
      </c>
      <c r="I70" s="380">
        <f>H70*F70</f>
        <v>93015.39</v>
      </c>
    </row>
    <row r="71" spans="2:9" x14ac:dyDescent="0.25">
      <c r="B71" s="495" t="s">
        <v>273</v>
      </c>
      <c r="C71" s="447"/>
      <c r="D71" s="447"/>
      <c r="E71" s="447"/>
      <c r="F71" s="447"/>
      <c r="G71" s="447"/>
      <c r="H71" s="447"/>
      <c r="I71" s="496"/>
    </row>
    <row r="72" spans="2:9" ht="51" x14ac:dyDescent="0.25">
      <c r="B72" s="379" t="s">
        <v>1380</v>
      </c>
      <c r="C72" s="21">
        <v>92476</v>
      </c>
      <c r="D72" s="29" t="s">
        <v>883</v>
      </c>
      <c r="E72" s="48" t="s">
        <v>251</v>
      </c>
      <c r="F72" s="205">
        <f>198.69+140.19</f>
        <v>338.88</v>
      </c>
      <c r="G72" s="178">
        <v>91.29</v>
      </c>
      <c r="H72" s="44">
        <f>G72*(($F$6)+1)</f>
        <v>116.72</v>
      </c>
      <c r="I72" s="380">
        <f>H72*F72</f>
        <v>39554.07</v>
      </c>
    </row>
    <row r="73" spans="2:9" ht="38.25" x14ac:dyDescent="0.25">
      <c r="B73" s="379" t="s">
        <v>1381</v>
      </c>
      <c r="C73" s="21">
        <v>92759</v>
      </c>
      <c r="D73" s="29" t="s">
        <v>1020</v>
      </c>
      <c r="E73" s="48" t="s">
        <v>253</v>
      </c>
      <c r="F73" s="205">
        <f>187+128.7</f>
        <v>315.7</v>
      </c>
      <c r="G73" s="178">
        <v>15.69</v>
      </c>
      <c r="H73" s="44">
        <f t="shared" ref="H73:H79" si="14">G73*(($F$6)+1)</f>
        <v>20.059999999999999</v>
      </c>
      <c r="I73" s="380">
        <f t="shared" ref="I73:I85" si="15">H73*F73</f>
        <v>6332.94</v>
      </c>
    </row>
    <row r="74" spans="2:9" ht="38.25" x14ac:dyDescent="0.25">
      <c r="B74" s="379" t="s">
        <v>1382</v>
      </c>
      <c r="C74" s="21">
        <v>92760</v>
      </c>
      <c r="D74" s="29" t="s">
        <v>1057</v>
      </c>
      <c r="E74" s="48" t="s">
        <v>253</v>
      </c>
      <c r="F74" s="205">
        <f>24.1+10.6</f>
        <v>34.700000000000003</v>
      </c>
      <c r="G74" s="178">
        <v>15.54</v>
      </c>
      <c r="H74" s="44">
        <f t="shared" si="14"/>
        <v>19.87</v>
      </c>
      <c r="I74" s="380">
        <f t="shared" si="15"/>
        <v>689.49</v>
      </c>
    </row>
    <row r="75" spans="2:9" ht="38.25" x14ac:dyDescent="0.25">
      <c r="B75" s="379" t="s">
        <v>525</v>
      </c>
      <c r="C75" s="21">
        <v>92761</v>
      </c>
      <c r="D75" s="30" t="s">
        <v>1021</v>
      </c>
      <c r="E75" s="48" t="s">
        <v>253</v>
      </c>
      <c r="F75" s="205">
        <f>309.1+331.3</f>
        <v>640.4</v>
      </c>
      <c r="G75" s="178">
        <v>15.1</v>
      </c>
      <c r="H75" s="44">
        <f t="shared" si="14"/>
        <v>19.309999999999999</v>
      </c>
      <c r="I75" s="380">
        <f t="shared" si="15"/>
        <v>12366.12</v>
      </c>
    </row>
    <row r="76" spans="2:9" ht="38.25" x14ac:dyDescent="0.25">
      <c r="B76" s="379" t="s">
        <v>526</v>
      </c>
      <c r="C76" s="21">
        <v>92762</v>
      </c>
      <c r="D76" s="30" t="s">
        <v>1058</v>
      </c>
      <c r="E76" s="48" t="s">
        <v>253</v>
      </c>
      <c r="F76" s="205">
        <f>121.5+13.8</f>
        <v>135.30000000000001</v>
      </c>
      <c r="G76" s="178">
        <v>13.73</v>
      </c>
      <c r="H76" s="44">
        <f t="shared" si="14"/>
        <v>17.559999999999999</v>
      </c>
      <c r="I76" s="380">
        <f t="shared" si="15"/>
        <v>2375.87</v>
      </c>
    </row>
    <row r="77" spans="2:9" ht="38.25" x14ac:dyDescent="0.25">
      <c r="B77" s="379" t="s">
        <v>527</v>
      </c>
      <c r="C77" s="21">
        <v>92763</v>
      </c>
      <c r="D77" s="29" t="s">
        <v>1059</v>
      </c>
      <c r="E77" s="48" t="s">
        <v>253</v>
      </c>
      <c r="F77" s="205">
        <f>100.6+31.5</f>
        <v>132.1</v>
      </c>
      <c r="G77" s="178">
        <v>11.68</v>
      </c>
      <c r="H77" s="44">
        <f t="shared" si="14"/>
        <v>14.93</v>
      </c>
      <c r="I77" s="380">
        <f>H77*F77</f>
        <v>1972.25</v>
      </c>
    </row>
    <row r="78" spans="2:9" ht="38.25" x14ac:dyDescent="0.25">
      <c r="B78" s="379" t="s">
        <v>528</v>
      </c>
      <c r="C78" s="21">
        <v>92764</v>
      </c>
      <c r="D78" s="29" t="s">
        <v>1060</v>
      </c>
      <c r="E78" s="48" t="s">
        <v>253</v>
      </c>
      <c r="F78" s="205">
        <f>60.1+33.4</f>
        <v>93.5</v>
      </c>
      <c r="G78" s="178">
        <v>11.43</v>
      </c>
      <c r="H78" s="44">
        <f t="shared" si="14"/>
        <v>14.61</v>
      </c>
      <c r="I78" s="380">
        <f t="shared" si="15"/>
        <v>1366.04</v>
      </c>
    </row>
    <row r="79" spans="2:9" ht="51" x14ac:dyDescent="0.25">
      <c r="B79" s="379" t="s">
        <v>529</v>
      </c>
      <c r="C79" s="21">
        <v>103675</v>
      </c>
      <c r="D79" s="29" t="s">
        <v>1054</v>
      </c>
      <c r="E79" s="48" t="s">
        <v>257</v>
      </c>
      <c r="F79" s="205">
        <f>13.13+9.54</f>
        <v>22.67</v>
      </c>
      <c r="G79" s="178">
        <v>880.21</v>
      </c>
      <c r="H79" s="44">
        <f t="shared" si="14"/>
        <v>1125.44</v>
      </c>
      <c r="I79" s="380">
        <f t="shared" si="15"/>
        <v>25513.72</v>
      </c>
    </row>
    <row r="80" spans="2:9" x14ac:dyDescent="0.25">
      <c r="B80" s="495" t="s">
        <v>182</v>
      </c>
      <c r="C80" s="447"/>
      <c r="D80" s="447"/>
      <c r="E80" s="447"/>
      <c r="F80" s="447"/>
      <c r="G80" s="447"/>
      <c r="H80" s="447"/>
      <c r="I80" s="496"/>
    </row>
    <row r="81" spans="2:9" ht="51" x14ac:dyDescent="0.25">
      <c r="B81" s="379" t="s">
        <v>530</v>
      </c>
      <c r="C81" s="21">
        <v>92435</v>
      </c>
      <c r="D81" s="26" t="s">
        <v>1061</v>
      </c>
      <c r="E81" s="48" t="s">
        <v>251</v>
      </c>
      <c r="F81" s="205">
        <v>183.94</v>
      </c>
      <c r="G81" s="178">
        <v>59.59</v>
      </c>
      <c r="H81" s="44">
        <f>G81*(($F$6)+1)</f>
        <v>76.19</v>
      </c>
      <c r="I81" s="380">
        <f t="shared" si="15"/>
        <v>14014.39</v>
      </c>
    </row>
    <row r="82" spans="2:9" s="146" customFormat="1" ht="38.25" x14ac:dyDescent="0.25">
      <c r="B82" s="379" t="s">
        <v>531</v>
      </c>
      <c r="C82" s="21">
        <v>92759</v>
      </c>
      <c r="D82" s="29" t="s">
        <v>1020</v>
      </c>
      <c r="E82" s="48" t="s">
        <v>253</v>
      </c>
      <c r="F82" s="205">
        <v>256</v>
      </c>
      <c r="G82" s="178">
        <v>15.69</v>
      </c>
      <c r="H82" s="44">
        <f t="shared" ref="H82:H85" si="16">G82*(($F$6)+1)</f>
        <v>20.059999999999999</v>
      </c>
      <c r="I82" s="380">
        <f t="shared" si="15"/>
        <v>5135.3599999999997</v>
      </c>
    </row>
    <row r="83" spans="2:9" s="146" customFormat="1" ht="38.25" x14ac:dyDescent="0.25">
      <c r="B83" s="379" t="s">
        <v>532</v>
      </c>
      <c r="C83" s="21">
        <v>92762</v>
      </c>
      <c r="D83" s="29" t="s">
        <v>1058</v>
      </c>
      <c r="E83" s="48" t="s">
        <v>253</v>
      </c>
      <c r="F83" s="205">
        <v>541.79999999999995</v>
      </c>
      <c r="G83" s="178">
        <f>G76</f>
        <v>13.73</v>
      </c>
      <c r="H83" s="44">
        <f t="shared" si="16"/>
        <v>17.559999999999999</v>
      </c>
      <c r="I83" s="380">
        <f t="shared" si="15"/>
        <v>9514.01</v>
      </c>
    </row>
    <row r="84" spans="2:9" s="146" customFormat="1" ht="38.25" x14ac:dyDescent="0.25">
      <c r="B84" s="379" t="s">
        <v>1397</v>
      </c>
      <c r="C84" s="21">
        <v>92763</v>
      </c>
      <c r="D84" s="29" t="s">
        <v>1059</v>
      </c>
      <c r="E84" s="48" t="s">
        <v>253</v>
      </c>
      <c r="F84" s="205">
        <v>20.2</v>
      </c>
      <c r="G84" s="178">
        <f>G77</f>
        <v>11.68</v>
      </c>
      <c r="H84" s="44">
        <f>G84*(($F$6)+1)</f>
        <v>14.93</v>
      </c>
      <c r="I84" s="380">
        <f t="shared" si="15"/>
        <v>301.58999999999997</v>
      </c>
    </row>
    <row r="85" spans="2:9" s="146" customFormat="1" ht="38.25" x14ac:dyDescent="0.25">
      <c r="B85" s="379" t="s">
        <v>828</v>
      </c>
      <c r="C85" s="21">
        <v>103672</v>
      </c>
      <c r="D85" s="30" t="s">
        <v>1062</v>
      </c>
      <c r="E85" s="48" t="s">
        <v>257</v>
      </c>
      <c r="F85" s="205">
        <v>10.18</v>
      </c>
      <c r="G85" s="178">
        <v>879.8</v>
      </c>
      <c r="H85" s="44">
        <f t="shared" si="16"/>
        <v>1124.9100000000001</v>
      </c>
      <c r="I85" s="380">
        <f t="shared" si="15"/>
        <v>11451.58</v>
      </c>
    </row>
    <row r="86" spans="2:9" s="146" customFormat="1" x14ac:dyDescent="0.25">
      <c r="B86" s="481" t="s">
        <v>1667</v>
      </c>
      <c r="C86" s="482"/>
      <c r="D86" s="482"/>
      <c r="E86" s="482"/>
      <c r="F86" s="482"/>
      <c r="G86" s="482"/>
      <c r="H86" s="482"/>
      <c r="I86" s="381">
        <f>SUM(I70:I85)</f>
        <v>223602.82</v>
      </c>
    </row>
    <row r="87" spans="2:9" s="146" customFormat="1" x14ac:dyDescent="0.25">
      <c r="B87" s="378" t="s">
        <v>28</v>
      </c>
      <c r="C87" s="339"/>
      <c r="D87" s="456" t="s">
        <v>27</v>
      </c>
      <c r="E87" s="456"/>
      <c r="F87" s="456"/>
      <c r="G87" s="456"/>
      <c r="H87" s="456"/>
      <c r="I87" s="483"/>
    </row>
    <row r="88" spans="2:9" s="146" customFormat="1" ht="51" x14ac:dyDescent="0.25">
      <c r="B88" s="379" t="s">
        <v>29</v>
      </c>
      <c r="C88" s="21">
        <v>103328</v>
      </c>
      <c r="D88" s="31" t="s">
        <v>823</v>
      </c>
      <c r="E88" s="48" t="s">
        <v>251</v>
      </c>
      <c r="F88" s="205">
        <f>'MEMO CÁLCULO'!I88</f>
        <v>737.01</v>
      </c>
      <c r="G88" s="178">
        <v>86.72</v>
      </c>
      <c r="H88" s="44">
        <f t="shared" ref="H88:H95" si="17">G88*(($F$6)+1)</f>
        <v>110.88</v>
      </c>
      <c r="I88" s="380">
        <f>H88*F88</f>
        <v>81719.67</v>
      </c>
    </row>
    <row r="89" spans="2:9" s="146" customFormat="1" ht="51" x14ac:dyDescent="0.25">
      <c r="B89" s="379" t="s">
        <v>30</v>
      </c>
      <c r="C89" s="21">
        <v>103326</v>
      </c>
      <c r="D89" s="31" t="s">
        <v>963</v>
      </c>
      <c r="E89" s="48" t="s">
        <v>251</v>
      </c>
      <c r="F89" s="205">
        <f>'MEMO CÁLCULO'!I89</f>
        <v>270.93</v>
      </c>
      <c r="G89" s="178">
        <v>102.6</v>
      </c>
      <c r="H89" s="44">
        <f t="shared" si="17"/>
        <v>131.18</v>
      </c>
      <c r="I89" s="380">
        <f>H89*F89</f>
        <v>35540.6</v>
      </c>
    </row>
    <row r="90" spans="2:9" ht="25.5" x14ac:dyDescent="0.25">
      <c r="B90" s="379" t="s">
        <v>31</v>
      </c>
      <c r="C90" s="21">
        <v>93187</v>
      </c>
      <c r="D90" s="31" t="s">
        <v>959</v>
      </c>
      <c r="E90" s="48" t="s">
        <v>248</v>
      </c>
      <c r="F90" s="205">
        <f>'MEMO CÁLCULO'!I90</f>
        <v>46.8</v>
      </c>
      <c r="G90" s="178">
        <v>100.2</v>
      </c>
      <c r="H90" s="44">
        <f t="shared" si="17"/>
        <v>128.12</v>
      </c>
      <c r="I90" s="380">
        <f t="shared" ref="I90:I95" si="18">H90*F90</f>
        <v>5996.02</v>
      </c>
    </row>
    <row r="91" spans="2:9" ht="38.25" x14ac:dyDescent="0.25">
      <c r="B91" s="379" t="s">
        <v>204</v>
      </c>
      <c r="C91" s="21">
        <v>93197</v>
      </c>
      <c r="D91" s="31" t="s">
        <v>960</v>
      </c>
      <c r="E91" s="48" t="s">
        <v>248</v>
      </c>
      <c r="F91" s="205">
        <f>'MEMO CÁLCULO'!I91</f>
        <v>62.4</v>
      </c>
      <c r="G91" s="178">
        <v>93.39</v>
      </c>
      <c r="H91" s="44">
        <f t="shared" si="17"/>
        <v>119.41</v>
      </c>
      <c r="I91" s="380">
        <f t="shared" si="18"/>
        <v>7451.18</v>
      </c>
    </row>
    <row r="92" spans="2:9" ht="51" x14ac:dyDescent="0.25">
      <c r="B92" s="379" t="s">
        <v>205</v>
      </c>
      <c r="C92" s="21">
        <v>87878</v>
      </c>
      <c r="D92" s="31" t="s">
        <v>172</v>
      </c>
      <c r="E92" s="48" t="s">
        <v>251</v>
      </c>
      <c r="F92" s="205">
        <f>'MEMO CÁLCULO'!I92</f>
        <v>2240.98</v>
      </c>
      <c r="G92" s="178">
        <v>4.55</v>
      </c>
      <c r="H92" s="44">
        <f t="shared" si="17"/>
        <v>5.82</v>
      </c>
      <c r="I92" s="380">
        <f t="shared" si="18"/>
        <v>13042.5</v>
      </c>
    </row>
    <row r="93" spans="2:9" ht="63.75" x14ac:dyDescent="0.25">
      <c r="B93" s="379" t="s">
        <v>533</v>
      </c>
      <c r="C93" s="21">
        <v>87547</v>
      </c>
      <c r="D93" s="31" t="s">
        <v>666</v>
      </c>
      <c r="E93" s="48" t="s">
        <v>251</v>
      </c>
      <c r="F93" s="205">
        <f>'MEMO CÁLCULO'!I93</f>
        <v>2240.98</v>
      </c>
      <c r="G93" s="178">
        <v>22.08</v>
      </c>
      <c r="H93" s="44">
        <f t="shared" si="17"/>
        <v>28.23</v>
      </c>
      <c r="I93" s="380">
        <f>H93*F93</f>
        <v>63262.87</v>
      </c>
    </row>
    <row r="94" spans="2:9" ht="38.25" x14ac:dyDescent="0.25">
      <c r="B94" s="379" t="s">
        <v>636</v>
      </c>
      <c r="C94" s="21">
        <v>98555</v>
      </c>
      <c r="D94" s="31" t="s">
        <v>304</v>
      </c>
      <c r="E94" s="48" t="s">
        <v>251</v>
      </c>
      <c r="F94" s="205">
        <f>'MEMO CÁLCULO'!I94</f>
        <v>288.18</v>
      </c>
      <c r="G94" s="178">
        <v>25.24</v>
      </c>
      <c r="H94" s="44">
        <f t="shared" si="17"/>
        <v>32.270000000000003</v>
      </c>
      <c r="I94" s="380">
        <f t="shared" si="18"/>
        <v>9299.57</v>
      </c>
    </row>
    <row r="95" spans="2:9" ht="63.75" x14ac:dyDescent="0.25">
      <c r="B95" s="379" t="s">
        <v>827</v>
      </c>
      <c r="C95" s="21">
        <v>87273</v>
      </c>
      <c r="D95" s="31" t="s">
        <v>457</v>
      </c>
      <c r="E95" s="48" t="s">
        <v>251</v>
      </c>
      <c r="F95" s="205">
        <f>'MEMO CÁLCULO'!I95</f>
        <v>372.2</v>
      </c>
      <c r="G95" s="178">
        <v>65.760000000000005</v>
      </c>
      <c r="H95" s="44">
        <f t="shared" si="17"/>
        <v>84.08</v>
      </c>
      <c r="I95" s="380">
        <f t="shared" si="18"/>
        <v>31294.58</v>
      </c>
    </row>
    <row r="96" spans="2:9" x14ac:dyDescent="0.25">
      <c r="B96" s="481" t="s">
        <v>1666</v>
      </c>
      <c r="C96" s="482"/>
      <c r="D96" s="482"/>
      <c r="E96" s="482"/>
      <c r="F96" s="482"/>
      <c r="G96" s="482"/>
      <c r="H96" s="482"/>
      <c r="I96" s="381">
        <f>SUM(I88:I95)</f>
        <v>247606.99</v>
      </c>
    </row>
    <row r="97" spans="2:9" x14ac:dyDescent="0.25">
      <c r="B97" s="378" t="s">
        <v>32</v>
      </c>
      <c r="C97" s="339"/>
      <c r="D97" s="456" t="s">
        <v>185</v>
      </c>
      <c r="E97" s="456"/>
      <c r="F97" s="456"/>
      <c r="G97" s="456"/>
      <c r="H97" s="456"/>
      <c r="I97" s="483"/>
    </row>
    <row r="98" spans="2:9" ht="51" x14ac:dyDescent="0.25">
      <c r="B98" s="384" t="s">
        <v>33</v>
      </c>
      <c r="C98" s="21" t="str">
        <f>'PMA CIV'!B20</f>
        <v>PMA CIV 002</v>
      </c>
      <c r="D98" s="32" t="str">
        <f>'PMA CIV'!C20</f>
        <v>ESTRUTURA METALICA EM TESOURAS, INCLUSO PINTURA DE ACABAMENTO. EXCLUSIVE FECHAMENTOS METÁLICOS E TELHAS DE COBERTURA -  FORNECIMENTO E INSTALAÇÃO.</v>
      </c>
      <c r="E98" s="334" t="s">
        <v>251</v>
      </c>
      <c r="F98" s="208">
        <f>'MEMO CÁLCULO'!I98</f>
        <v>794.5</v>
      </c>
      <c r="G98" s="179">
        <f>'PMA CIV'!H27</f>
        <v>269.17</v>
      </c>
      <c r="H98" s="230">
        <f t="shared" ref="H98:H99" si="19">G98*(($F$6)+1)</f>
        <v>344.16</v>
      </c>
      <c r="I98" s="380">
        <f>H98*F98</f>
        <v>273435.12</v>
      </c>
    </row>
    <row r="99" spans="2:9" ht="38.25" x14ac:dyDescent="0.25">
      <c r="B99" s="384" t="s">
        <v>206</v>
      </c>
      <c r="C99" s="21">
        <v>94216</v>
      </c>
      <c r="D99" s="32" t="s">
        <v>902</v>
      </c>
      <c r="E99" s="334" t="s">
        <v>251</v>
      </c>
      <c r="F99" s="208">
        <f>'MEMO CÁLCULO'!I99</f>
        <v>794.5</v>
      </c>
      <c r="G99" s="233">
        <v>193.76</v>
      </c>
      <c r="H99" s="230">
        <f t="shared" si="19"/>
        <v>247.74</v>
      </c>
      <c r="I99" s="380">
        <f>H99*F99</f>
        <v>196829.43</v>
      </c>
    </row>
    <row r="100" spans="2:9" ht="38.25" x14ac:dyDescent="0.25">
      <c r="B100" s="384" t="s">
        <v>907</v>
      </c>
      <c r="C100" s="21">
        <v>94213</v>
      </c>
      <c r="D100" s="32" t="s">
        <v>904</v>
      </c>
      <c r="E100" s="21" t="str">
        <f>'MEMO CÁLCULO'!J99</f>
        <v>M2</v>
      </c>
      <c r="F100" s="208">
        <f>'MEMO CÁLCULO'!I100</f>
        <v>20.28</v>
      </c>
      <c r="G100" s="179">
        <v>67.55</v>
      </c>
      <c r="H100" s="44">
        <f t="shared" ref="H100:H103" si="20">G100*(($F$6)+1)</f>
        <v>86.37</v>
      </c>
      <c r="I100" s="380">
        <f>H100*F100</f>
        <v>1751.58</v>
      </c>
    </row>
    <row r="101" spans="2:9" ht="51" x14ac:dyDescent="0.25">
      <c r="B101" s="384" t="s">
        <v>282</v>
      </c>
      <c r="C101" s="21">
        <v>103328</v>
      </c>
      <c r="D101" s="25" t="s">
        <v>823</v>
      </c>
      <c r="E101" s="21" t="s">
        <v>251</v>
      </c>
      <c r="F101" s="208">
        <f>'MEMO CÁLCULO'!I101</f>
        <v>112.55</v>
      </c>
      <c r="G101" s="179">
        <v>86.72</v>
      </c>
      <c r="H101" s="44">
        <f t="shared" si="20"/>
        <v>110.88</v>
      </c>
      <c r="I101" s="385">
        <f t="shared" ref="I101:I103" si="21">H101*F101</f>
        <v>12479.54</v>
      </c>
    </row>
    <row r="102" spans="2:9" ht="25.5" x14ac:dyDescent="0.25">
      <c r="B102" s="384" t="s">
        <v>283</v>
      </c>
      <c r="C102" s="21">
        <v>96114</v>
      </c>
      <c r="D102" s="24" t="s">
        <v>905</v>
      </c>
      <c r="E102" s="48" t="s">
        <v>251</v>
      </c>
      <c r="F102" s="208">
        <f>'MEMO CÁLCULO'!I102</f>
        <v>434.64</v>
      </c>
      <c r="G102" s="179">
        <v>78.61</v>
      </c>
      <c r="H102" s="44">
        <f t="shared" si="20"/>
        <v>100.51</v>
      </c>
      <c r="I102" s="380">
        <f t="shared" si="21"/>
        <v>43685.67</v>
      </c>
    </row>
    <row r="103" spans="2:9" ht="51" x14ac:dyDescent="0.25">
      <c r="B103" s="384" t="s">
        <v>1396</v>
      </c>
      <c r="C103" s="21">
        <v>39429</v>
      </c>
      <c r="D103" s="24" t="s">
        <v>906</v>
      </c>
      <c r="E103" s="48" t="s">
        <v>248</v>
      </c>
      <c r="F103" s="208">
        <f>'MEMO CÁLCULO'!I103</f>
        <v>613.1</v>
      </c>
      <c r="G103" s="178">
        <v>8.6199999999999992</v>
      </c>
      <c r="H103" s="44">
        <f t="shared" si="20"/>
        <v>11.02</v>
      </c>
      <c r="I103" s="380">
        <f t="shared" si="21"/>
        <v>6756.36</v>
      </c>
    </row>
    <row r="104" spans="2:9" x14ac:dyDescent="0.25">
      <c r="B104" s="481" t="s">
        <v>1665</v>
      </c>
      <c r="C104" s="482"/>
      <c r="D104" s="482"/>
      <c r="E104" s="482"/>
      <c r="F104" s="482"/>
      <c r="G104" s="482"/>
      <c r="H104" s="482"/>
      <c r="I104" s="381">
        <f>SUM(I98:I103)</f>
        <v>534937.69999999995</v>
      </c>
    </row>
    <row r="105" spans="2:9" x14ac:dyDescent="0.25">
      <c r="B105" s="378" t="s">
        <v>34</v>
      </c>
      <c r="C105" s="339"/>
      <c r="D105" s="450" t="s">
        <v>266</v>
      </c>
      <c r="E105" s="450"/>
      <c r="F105" s="450"/>
      <c r="G105" s="450"/>
      <c r="H105" s="450"/>
      <c r="I105" s="494"/>
    </row>
    <row r="106" spans="2:9" ht="63.75" x14ac:dyDescent="0.25">
      <c r="B106" s="379" t="s">
        <v>1355</v>
      </c>
      <c r="C106" s="48">
        <v>94438</v>
      </c>
      <c r="D106" s="31" t="s">
        <v>908</v>
      </c>
      <c r="E106" s="48" t="s">
        <v>251</v>
      </c>
      <c r="F106" s="168">
        <f>'MEMO CÁLCULO'!I106</f>
        <v>488.9</v>
      </c>
      <c r="G106" s="178">
        <v>47.27</v>
      </c>
      <c r="H106" s="44">
        <f>G106*($F$6+1)</f>
        <v>60.44</v>
      </c>
      <c r="I106" s="380">
        <f t="shared" ref="I106:I110" si="22">H106*F106</f>
        <v>29549.119999999999</v>
      </c>
    </row>
    <row r="107" spans="2:9" ht="38.25" x14ac:dyDescent="0.25">
      <c r="B107" s="379" t="s">
        <v>1356</v>
      </c>
      <c r="C107" s="48">
        <v>98555</v>
      </c>
      <c r="D107" s="31" t="s">
        <v>909</v>
      </c>
      <c r="E107" s="48" t="s">
        <v>251</v>
      </c>
      <c r="F107" s="168">
        <f>'MEMO CÁLCULO'!I107</f>
        <v>488.9</v>
      </c>
      <c r="G107" s="178">
        <v>25.24</v>
      </c>
      <c r="H107" s="44">
        <f t="shared" ref="H107:H110" si="23">G107*($F$6+1)</f>
        <v>32.270000000000003</v>
      </c>
      <c r="I107" s="380">
        <f t="shared" si="22"/>
        <v>15776.8</v>
      </c>
    </row>
    <row r="108" spans="2:9" ht="25.5" x14ac:dyDescent="0.25">
      <c r="B108" s="379" t="s">
        <v>1357</v>
      </c>
      <c r="C108" s="48">
        <v>98689</v>
      </c>
      <c r="D108" s="31" t="s">
        <v>824</v>
      </c>
      <c r="E108" s="48" t="s">
        <v>248</v>
      </c>
      <c r="F108" s="168">
        <f>'MEMO CÁLCULO'!I108</f>
        <v>6.59</v>
      </c>
      <c r="G108" s="178">
        <v>136.66</v>
      </c>
      <c r="H108" s="44">
        <f t="shared" si="23"/>
        <v>174.73</v>
      </c>
      <c r="I108" s="380">
        <f t="shared" si="22"/>
        <v>1151.47</v>
      </c>
    </row>
    <row r="109" spans="2:9" x14ac:dyDescent="0.25">
      <c r="B109" s="379" t="s">
        <v>522</v>
      </c>
      <c r="C109" s="21" t="str">
        <f>'PMA CIV'!B49</f>
        <v>PMA CIV 006</v>
      </c>
      <c r="D109" s="24" t="s">
        <v>911</v>
      </c>
      <c r="E109" s="48" t="s">
        <v>248</v>
      </c>
      <c r="F109" s="168">
        <f>'MEMO CÁLCULO'!I109</f>
        <v>506.51</v>
      </c>
      <c r="G109" s="178">
        <f>'PMA CIV'!H56</f>
        <v>37.520000000000003</v>
      </c>
      <c r="H109" s="44">
        <f t="shared" si="23"/>
        <v>47.97</v>
      </c>
      <c r="I109" s="380">
        <f t="shared" si="22"/>
        <v>24297.279999999999</v>
      </c>
    </row>
    <row r="110" spans="2:9" ht="51" x14ac:dyDescent="0.25">
      <c r="B110" s="379" t="s">
        <v>523</v>
      </c>
      <c r="C110" s="21">
        <v>87263</v>
      </c>
      <c r="D110" s="31" t="s">
        <v>175</v>
      </c>
      <c r="E110" s="48" t="s">
        <v>251</v>
      </c>
      <c r="F110" s="168">
        <f>'MEMO CÁLCULO'!I110</f>
        <v>488.9</v>
      </c>
      <c r="G110" s="178">
        <v>166.22</v>
      </c>
      <c r="H110" s="44">
        <f t="shared" si="23"/>
        <v>212.53</v>
      </c>
      <c r="I110" s="380">
        <f t="shared" si="22"/>
        <v>103905.92</v>
      </c>
    </row>
    <row r="111" spans="2:9" x14ac:dyDescent="0.25">
      <c r="B111" s="481" t="s">
        <v>1664</v>
      </c>
      <c r="C111" s="482"/>
      <c r="D111" s="482"/>
      <c r="E111" s="482"/>
      <c r="F111" s="482"/>
      <c r="G111" s="482"/>
      <c r="H111" s="482"/>
      <c r="I111" s="381">
        <f>SUM(I106:I110)</f>
        <v>174680.59</v>
      </c>
    </row>
    <row r="112" spans="2:9" x14ac:dyDescent="0.25">
      <c r="B112" s="378" t="s">
        <v>65</v>
      </c>
      <c r="C112" s="339"/>
      <c r="D112" s="450" t="s">
        <v>305</v>
      </c>
      <c r="E112" s="450"/>
      <c r="F112" s="450"/>
      <c r="G112" s="450"/>
      <c r="H112" s="450"/>
      <c r="I112" s="494"/>
    </row>
    <row r="113" spans="2:9" ht="25.5" x14ac:dyDescent="0.25">
      <c r="B113" s="384" t="s">
        <v>176</v>
      </c>
      <c r="C113" s="21">
        <v>88484</v>
      </c>
      <c r="D113" s="24" t="s">
        <v>711</v>
      </c>
      <c r="E113" s="48" t="s">
        <v>251</v>
      </c>
      <c r="F113" s="84">
        <f>'MEMO CÁLCULO'!I113</f>
        <v>490.87</v>
      </c>
      <c r="G113" s="178">
        <v>2.46</v>
      </c>
      <c r="H113" s="44">
        <f>G113*(($F$6)+1)</f>
        <v>3.15</v>
      </c>
      <c r="I113" s="380">
        <f>H113*F113</f>
        <v>1546.24</v>
      </c>
    </row>
    <row r="114" spans="2:9" ht="25.5" x14ac:dyDescent="0.25">
      <c r="B114" s="383" t="s">
        <v>207</v>
      </c>
      <c r="C114" s="21">
        <v>88485</v>
      </c>
      <c r="D114" s="31" t="s">
        <v>279</v>
      </c>
      <c r="E114" s="48" t="s">
        <v>251</v>
      </c>
      <c r="F114" s="207">
        <f>'MEMO CÁLCULO'!I114</f>
        <v>1344.5</v>
      </c>
      <c r="G114" s="178">
        <v>2.09</v>
      </c>
      <c r="H114" s="44">
        <f t="shared" ref="H114:H117" si="24">G114*($F$6+1)</f>
        <v>2.67</v>
      </c>
      <c r="I114" s="380">
        <f t="shared" ref="I114:I117" si="25">H114*F114</f>
        <v>3589.82</v>
      </c>
    </row>
    <row r="115" spans="2:9" ht="25.5" x14ac:dyDescent="0.25">
      <c r="B115" s="383" t="s">
        <v>712</v>
      </c>
      <c r="C115" s="21">
        <v>88495</v>
      </c>
      <c r="D115" s="31" t="s">
        <v>278</v>
      </c>
      <c r="E115" s="48" t="s">
        <v>251</v>
      </c>
      <c r="F115" s="207">
        <f>'MEMO CÁLCULO'!I115</f>
        <v>1344.5</v>
      </c>
      <c r="G115" s="178">
        <v>11.44</v>
      </c>
      <c r="H115" s="44">
        <f t="shared" si="24"/>
        <v>14.63</v>
      </c>
      <c r="I115" s="380">
        <f t="shared" si="25"/>
        <v>19670.04</v>
      </c>
    </row>
    <row r="116" spans="2:9" ht="25.5" x14ac:dyDescent="0.25">
      <c r="B116" s="383" t="s">
        <v>713</v>
      </c>
      <c r="C116" s="21">
        <v>88489</v>
      </c>
      <c r="D116" s="31" t="s">
        <v>168</v>
      </c>
      <c r="E116" s="48" t="s">
        <v>251</v>
      </c>
      <c r="F116" s="207">
        <f>'MEMO CÁLCULO'!I116</f>
        <v>1344.5</v>
      </c>
      <c r="G116" s="178">
        <v>14.37</v>
      </c>
      <c r="H116" s="44">
        <f t="shared" si="24"/>
        <v>18.37</v>
      </c>
      <c r="I116" s="380">
        <f t="shared" si="25"/>
        <v>24698.47</v>
      </c>
    </row>
    <row r="117" spans="2:9" ht="38.25" x14ac:dyDescent="0.25">
      <c r="B117" s="383" t="s">
        <v>714</v>
      </c>
      <c r="C117" s="21">
        <v>88431</v>
      </c>
      <c r="D117" s="31" t="s">
        <v>912</v>
      </c>
      <c r="E117" s="48" t="s">
        <v>251</v>
      </c>
      <c r="F117" s="207">
        <f>'MEMO CÁLCULO'!I117</f>
        <v>288.18</v>
      </c>
      <c r="G117" s="178">
        <v>20.73</v>
      </c>
      <c r="H117" s="44">
        <f t="shared" si="24"/>
        <v>26.51</v>
      </c>
      <c r="I117" s="380">
        <f t="shared" si="25"/>
        <v>7639.65</v>
      </c>
    </row>
    <row r="118" spans="2:9" x14ac:dyDescent="0.25">
      <c r="B118" s="481" t="s">
        <v>1663</v>
      </c>
      <c r="C118" s="482"/>
      <c r="D118" s="482"/>
      <c r="E118" s="482"/>
      <c r="F118" s="482"/>
      <c r="G118" s="482"/>
      <c r="H118" s="482"/>
      <c r="I118" s="381">
        <f>SUM(I113:I117)</f>
        <v>57144.22</v>
      </c>
    </row>
    <row r="119" spans="2:9" x14ac:dyDescent="0.25">
      <c r="B119" s="378" t="s">
        <v>66</v>
      </c>
      <c r="C119" s="339"/>
      <c r="D119" s="450" t="s">
        <v>267</v>
      </c>
      <c r="E119" s="450"/>
      <c r="F119" s="450"/>
      <c r="G119" s="450"/>
      <c r="H119" s="450"/>
      <c r="I119" s="386"/>
    </row>
    <row r="120" spans="2:9" ht="38.25" x14ac:dyDescent="0.25">
      <c r="B120" s="379" t="s">
        <v>208</v>
      </c>
      <c r="C120" s="48" t="str">
        <f>'PMA ESQ'!B9</f>
        <v>PMA ESQ 001</v>
      </c>
      <c r="D120" s="34" t="str">
        <f>'PMA ESQ'!C9</f>
        <v>BOX FRONTAL DE CORRER, COM VIDRO TEMPERADO 8 MM, 190X100CM, 1 FOLHA FIXA, 1 FOLHA MÓVEL, PERFIS E FERRAGENS EM ALUMÍNIO. AF_01/2021</v>
      </c>
      <c r="E120" s="153" t="s">
        <v>309</v>
      </c>
      <c r="F120" s="84">
        <f>'MEMO CÁLCULO'!I120</f>
        <v>2</v>
      </c>
      <c r="G120" s="178">
        <f>'PMA ESQ'!H21</f>
        <v>1784.87</v>
      </c>
      <c r="H120" s="44">
        <f t="shared" ref="H120:H144" si="26">G120*($F$6+1)</f>
        <v>2282.13</v>
      </c>
      <c r="I120" s="380">
        <f>H120*F120</f>
        <v>4564.26</v>
      </c>
    </row>
    <row r="121" spans="2:9" ht="38.25" x14ac:dyDescent="0.25">
      <c r="B121" s="379" t="s">
        <v>209</v>
      </c>
      <c r="C121" s="48" t="str">
        <f>'PMA ESQ'!B23</f>
        <v>PMA ESQ 002</v>
      </c>
      <c r="D121" s="34" t="str">
        <f>'PMA ESQ'!C23</f>
        <v>PORTA EM ALUMÍNIO DE ABRIR COM LAMBRI, COM GUARNIÇÃO, FIXAÇÃO COM PARAFUSOS - FORNECIMENTO E INSTALAÇÃO. AF_12/2019</v>
      </c>
      <c r="E121" s="153" t="s">
        <v>309</v>
      </c>
      <c r="F121" s="84">
        <f>'MEMO CÁLCULO'!I121</f>
        <v>29</v>
      </c>
      <c r="G121" s="178">
        <f>'PMA ESQ'!H26</f>
        <v>1517.77</v>
      </c>
      <c r="H121" s="44">
        <f t="shared" si="26"/>
        <v>1940.62</v>
      </c>
      <c r="I121" s="380">
        <f t="shared" ref="I121:I144" si="27">H121*F121</f>
        <v>56277.98</v>
      </c>
    </row>
    <row r="122" spans="2:9" ht="25.5" x14ac:dyDescent="0.25">
      <c r="B122" s="379" t="s">
        <v>210</v>
      </c>
      <c r="C122" s="48">
        <v>100874</v>
      </c>
      <c r="D122" s="34" t="s">
        <v>731</v>
      </c>
      <c r="E122" s="153" t="s">
        <v>309</v>
      </c>
      <c r="F122" s="84">
        <f>'MEMO CÁLCULO'!I122</f>
        <v>7</v>
      </c>
      <c r="G122" s="178">
        <v>304.70999999999998</v>
      </c>
      <c r="H122" s="44">
        <f t="shared" si="26"/>
        <v>389.6</v>
      </c>
      <c r="I122" s="380">
        <f t="shared" si="27"/>
        <v>2727.2</v>
      </c>
    </row>
    <row r="123" spans="2:9" ht="38.25" x14ac:dyDescent="0.25">
      <c r="B123" s="379" t="s">
        <v>211</v>
      </c>
      <c r="C123" s="48" t="str">
        <f>'PMA ESQ'!B28</f>
        <v>PMA ESQ 003</v>
      </c>
      <c r="D123" s="34" t="str">
        <f>'PMA ESQ'!C28</f>
        <v>PORTA EM ALUMÍNIO DE ABRIR TIPO VENEZIANA COM GUARNIÇÃO, FIXAÇÃO COM PARAFUSOS - FORNECIMENTO E INSTALAÇÃO. AF_12/2019</v>
      </c>
      <c r="E123" s="153" t="s">
        <v>309</v>
      </c>
      <c r="F123" s="84">
        <f>'MEMO CÁLCULO'!I123</f>
        <v>4</v>
      </c>
      <c r="G123" s="178">
        <f>'PMA ESQ'!H31</f>
        <v>1190.6199999999999</v>
      </c>
      <c r="H123" s="44">
        <f t="shared" si="26"/>
        <v>1522.33</v>
      </c>
      <c r="I123" s="380">
        <f t="shared" si="27"/>
        <v>6089.32</v>
      </c>
    </row>
    <row r="124" spans="2:9" ht="51" x14ac:dyDescent="0.25">
      <c r="B124" s="379" t="s">
        <v>353</v>
      </c>
      <c r="C124" s="48" t="str">
        <f>'PMA ESQ'!B33</f>
        <v>PMA ESQ 004</v>
      </c>
      <c r="D124" s="34" t="str">
        <f>'PMA ESQ'!C33</f>
        <v xml:space="preserve">PORTA EM ALUMÍNIO DE ABRIR COM LAMBRI, PARA VIDRO, COM GUARNIÇÃO, DUAS FOLHAS (120X210CM), FIXAÇÃO COM PARAFUSOS, INCLUSIVE VIDROS - FORNECIMENTO E INSTALAÇÃO. </v>
      </c>
      <c r="E124" s="153" t="s">
        <v>309</v>
      </c>
      <c r="F124" s="84">
        <f>'MEMO CÁLCULO'!I124</f>
        <v>4</v>
      </c>
      <c r="G124" s="178">
        <f>'PMA ESQ'!H41</f>
        <v>2012.97</v>
      </c>
      <c r="H124" s="44">
        <f t="shared" si="26"/>
        <v>2573.7800000000002</v>
      </c>
      <c r="I124" s="380">
        <f t="shared" si="27"/>
        <v>10295.120000000001</v>
      </c>
    </row>
    <row r="125" spans="2:9" ht="51" x14ac:dyDescent="0.25">
      <c r="B125" s="379" t="s">
        <v>354</v>
      </c>
      <c r="C125" s="48" t="str">
        <f>'PMA ESQ'!B43</f>
        <v>PMA ESQ 005</v>
      </c>
      <c r="D125" s="34" t="str">
        <f>'PMA ESQ'!C43</f>
        <v xml:space="preserve">PORTA EM ALUMÍNIO DE ABRIR COM LAMBRI, PARA VIDRO, COM GUARNIÇÃO, DUAS FOLHAS (160X210CM), FIXAÇÃO COM PARAFUSOS, INCLUSIVE VIDROS - FORNECIMENTO E INSTALAÇÃO. </v>
      </c>
      <c r="E125" s="153" t="s">
        <v>309</v>
      </c>
      <c r="F125" s="84">
        <f>'MEMO CÁLCULO'!I125</f>
        <v>3</v>
      </c>
      <c r="G125" s="178">
        <f>'PMA ESQ'!H51</f>
        <v>2598.5500000000002</v>
      </c>
      <c r="H125" s="44">
        <f t="shared" si="26"/>
        <v>3322.51</v>
      </c>
      <c r="I125" s="380">
        <f t="shared" si="27"/>
        <v>9967.5300000000007</v>
      </c>
    </row>
    <row r="126" spans="2:9" ht="51" x14ac:dyDescent="0.25">
      <c r="B126" s="379" t="s">
        <v>355</v>
      </c>
      <c r="C126" s="48" t="str">
        <f>'PMA ESQ'!B53</f>
        <v>PMA ESQ 006</v>
      </c>
      <c r="D126" s="34" t="str">
        <f>'PMA ESQ'!C53</f>
        <v xml:space="preserve">PORTA EM ALUMÍNIO COM LAMBRI, DE ABRIR PARA VIDRO, COM GUARNIÇÃO, DUAS FOLHAS (200X210CM), FIXAÇÃO COM PARAFUSOS, INCLUSIVE VIDROS - FORNECIMENTO E INSTALAÇÃO. </v>
      </c>
      <c r="E126" s="153" t="s">
        <v>309</v>
      </c>
      <c r="F126" s="84">
        <f>'MEMO CÁLCULO'!I126</f>
        <v>1</v>
      </c>
      <c r="G126" s="178">
        <f>'PMA ESQ'!H61</f>
        <v>3183.86</v>
      </c>
      <c r="H126" s="44">
        <f t="shared" si="26"/>
        <v>4070.88</v>
      </c>
      <c r="I126" s="380">
        <f t="shared" si="27"/>
        <v>4070.88</v>
      </c>
    </row>
    <row r="127" spans="2:9" ht="38.25" x14ac:dyDescent="0.25">
      <c r="B127" s="379" t="s">
        <v>356</v>
      </c>
      <c r="C127" s="48" t="str">
        <f>'PMA ESQ'!B63</f>
        <v>PMA ESQ 007</v>
      </c>
      <c r="D127" s="34" t="str">
        <f>'PMA ESQ'!C63</f>
        <v>PORTA DE CORRER EM ALUMINIO (310X210CM), COM QUATRO FOLHAS DE VIDRO, INCLUSO VIDRO LISO INCOLOR, FECHADURA E PUXADOR, COM ALIZAR.</v>
      </c>
      <c r="E127" s="153" t="s">
        <v>309</v>
      </c>
      <c r="F127" s="84">
        <f>'MEMO CÁLCULO'!I127</f>
        <v>1</v>
      </c>
      <c r="G127" s="178">
        <f>'PMA ESQ'!H74</f>
        <v>4773.6499999999996</v>
      </c>
      <c r="H127" s="44">
        <f t="shared" si="26"/>
        <v>6103.59</v>
      </c>
      <c r="I127" s="380">
        <f t="shared" si="27"/>
        <v>6103.59</v>
      </c>
    </row>
    <row r="128" spans="2:9" ht="38.25" x14ac:dyDescent="0.25">
      <c r="B128" s="379" t="s">
        <v>357</v>
      </c>
      <c r="C128" s="48" t="str">
        <f>'PMA ESQ'!B76</f>
        <v>PMA ESQ 008</v>
      </c>
      <c r="D128" s="36" t="str">
        <f>'PMA ESQ'!C76</f>
        <v>PORTA DE ABRIR/GIRO EM MALHA QUADRADA ONDULADA, DUAS FOLHAS(120X211CM)), PINTURA NA COR BRANCA - FORNECIMENTO E INSTALAÇÃO</v>
      </c>
      <c r="E128" s="153" t="s">
        <v>309</v>
      </c>
      <c r="F128" s="84">
        <f>'MEMO CÁLCULO'!I128</f>
        <v>4</v>
      </c>
      <c r="G128" s="178">
        <f>'PMA ESQ'!H89</f>
        <v>1449.87</v>
      </c>
      <c r="H128" s="44">
        <f t="shared" si="26"/>
        <v>1853.8</v>
      </c>
      <c r="I128" s="380">
        <f t="shared" si="27"/>
        <v>7415.2</v>
      </c>
    </row>
    <row r="129" spans="2:10" ht="51" x14ac:dyDescent="0.25">
      <c r="B129" s="379" t="s">
        <v>358</v>
      </c>
      <c r="C129" s="48" t="str">
        <f>'PMA ESQ'!B91</f>
        <v>PMA ESQ 009</v>
      </c>
      <c r="D129" s="36" t="str">
        <f>'PMA ESQ'!C91</f>
        <v>PORTA EM ALUMÍNIO DE ABRIR TIPO VENEZIANA, DUAS FOLHAS (120X210CM), COM GUARNIÇÃO, FIXAÇÃO COM PARAFUSOS - FORNECIMENTO E INSTALAÇÃO. AF_12/2019.</v>
      </c>
      <c r="E129" s="153" t="s">
        <v>309</v>
      </c>
      <c r="F129" s="84">
        <f>'MEMO CÁLCULO'!I129</f>
        <v>2</v>
      </c>
      <c r="G129" s="178">
        <f>'PMA ESQ'!H102</f>
        <v>1734.19</v>
      </c>
      <c r="H129" s="44">
        <f t="shared" si="26"/>
        <v>2217.34</v>
      </c>
      <c r="I129" s="380">
        <f t="shared" si="27"/>
        <v>4434.68</v>
      </c>
    </row>
    <row r="130" spans="2:10" ht="38.25" x14ac:dyDescent="0.25">
      <c r="B130" s="379" t="s">
        <v>359</v>
      </c>
      <c r="C130" s="48" t="str">
        <f>'PMA ESQ'!B104</f>
        <v>PMA ESQ 010</v>
      </c>
      <c r="D130" s="36" t="str">
        <f>'PMA ESQ'!C104</f>
        <v>PORTA DE ABRIR/GIRO EM MALHA QUADRADA ONDULADA, DUAS FOLHAS (100X110CM), PINTURA NA COR BRANCA - FORNECIMENTO E INSTALAÇÃO</v>
      </c>
      <c r="E130" s="153" t="s">
        <v>309</v>
      </c>
      <c r="F130" s="84">
        <f>'MEMO CÁLCULO'!I130</f>
        <v>1</v>
      </c>
      <c r="G130" s="178">
        <f>'PMA ESQ'!H117</f>
        <v>629.88</v>
      </c>
      <c r="H130" s="44">
        <f t="shared" si="26"/>
        <v>805.36</v>
      </c>
      <c r="I130" s="380">
        <f t="shared" si="27"/>
        <v>805.36</v>
      </c>
    </row>
    <row r="131" spans="2:10" s="146" customFormat="1" ht="38.25" x14ac:dyDescent="0.25">
      <c r="B131" s="379" t="s">
        <v>360</v>
      </c>
      <c r="C131" s="48" t="str">
        <f>'PMA ESQ'!B119</f>
        <v>PMA ESQ 011</v>
      </c>
      <c r="D131" s="36" t="str">
        <f>'PMA ESQ'!C119</f>
        <v>PORTA DE ABRIR/GIRO EM MALHA QUADRADA ONDULADA, DUAS FOLHAS (120X110CM), PINTURA NA COR BRANCA - FORNECIMENTO E INSTALAÇÃO</v>
      </c>
      <c r="E131" s="153" t="s">
        <v>309</v>
      </c>
      <c r="F131" s="84">
        <f>'MEMO CÁLCULO'!I131</f>
        <v>1</v>
      </c>
      <c r="G131" s="178">
        <f>'PMA ESQ'!H132</f>
        <v>755.86</v>
      </c>
      <c r="H131" s="44">
        <f t="shared" si="26"/>
        <v>966.44</v>
      </c>
      <c r="I131" s="380">
        <f t="shared" si="27"/>
        <v>966.44</v>
      </c>
    </row>
    <row r="132" spans="2:10" s="146" customFormat="1" ht="38.25" x14ac:dyDescent="0.25">
      <c r="B132" s="379" t="s">
        <v>361</v>
      </c>
      <c r="C132" s="48" t="str">
        <f>'PMA ESQ'!B134</f>
        <v>PMA ESQ 012</v>
      </c>
      <c r="D132" s="36" t="str">
        <f>'PMA ESQ'!C134</f>
        <v>CAIXILHO EM MALHA QUADRADA ONDULADA, DUAS FOLHAS (300X165CM), PINTURA NA COR BRANCA - FORNECIMENTO E INSTALAÇÃO</v>
      </c>
      <c r="E132" s="153" t="s">
        <v>309</v>
      </c>
      <c r="F132" s="84">
        <f>'MEMO CÁLCULO'!I132</f>
        <v>5</v>
      </c>
      <c r="G132" s="178">
        <f>'PMA ESQ'!H147</f>
        <v>2667.6</v>
      </c>
      <c r="H132" s="44">
        <f t="shared" si="26"/>
        <v>3410.79</v>
      </c>
      <c r="I132" s="380">
        <f t="shared" si="27"/>
        <v>17053.95</v>
      </c>
    </row>
    <row r="133" spans="2:10" s="146" customFormat="1" ht="38.25" x14ac:dyDescent="0.25">
      <c r="B133" s="379" t="s">
        <v>362</v>
      </c>
      <c r="C133" s="48" t="str">
        <f>'PMA ESQ'!B149</f>
        <v>PMA ESQ 013</v>
      </c>
      <c r="D133" s="36" t="str">
        <f>'PMA ESQ'!C149</f>
        <v>CAIXILHO EM MALHA QUADRADA ONDULADA, DUAS FOLHAS (120X165CM), PINTURA NA COR BRANCA - FORNECIMENTO E INSTALAÇÃO</v>
      </c>
      <c r="E133" s="153" t="s">
        <v>309</v>
      </c>
      <c r="F133" s="84">
        <f>'MEMO CÁLCULO'!I133</f>
        <v>1</v>
      </c>
      <c r="G133" s="178">
        <f>'PMA ESQ'!H162</f>
        <v>1067.04</v>
      </c>
      <c r="H133" s="44">
        <f t="shared" si="26"/>
        <v>1364.32</v>
      </c>
      <c r="I133" s="380">
        <f t="shared" si="27"/>
        <v>1364.32</v>
      </c>
    </row>
    <row r="134" spans="2:10" ht="63.75" x14ac:dyDescent="0.25">
      <c r="B134" s="379" t="s">
        <v>363</v>
      </c>
      <c r="C134" s="48" t="str">
        <f>'PMA ESQ'!B164</f>
        <v>PMA ESQ 014</v>
      </c>
      <c r="D134" s="36" t="str">
        <f>'PMA ESQ'!C164</f>
        <v>JANELA DE ALUMÍNIO DE CORRER COM 2 FOLHAS PARA VIDROS (80X100CM), COM VIDROS, BATENTE, ACABAMENTO COM ACETATO OU BRILHANTE E FERRAGENS, INCLUSIVE ALIZAR E CONTRAMARCO - FORNECIMENTO E INSTALAÇÃO.</v>
      </c>
      <c r="E134" s="153" t="s">
        <v>309</v>
      </c>
      <c r="F134" s="84">
        <f>'MEMO CÁLCULO'!I134</f>
        <v>7</v>
      </c>
      <c r="G134" s="178">
        <f>'PMA ESQ'!H176</f>
        <v>488.4</v>
      </c>
      <c r="H134" s="44">
        <f t="shared" si="26"/>
        <v>624.47</v>
      </c>
      <c r="I134" s="380">
        <f t="shared" si="27"/>
        <v>4371.29</v>
      </c>
    </row>
    <row r="135" spans="2:10" ht="63.75" x14ac:dyDescent="0.25">
      <c r="B135" s="379" t="s">
        <v>364</v>
      </c>
      <c r="C135" s="48" t="str">
        <f>'PMA ESQ'!B178</f>
        <v>PMA ESQ 015</v>
      </c>
      <c r="D135" s="34" t="str">
        <f>'PMA ESQ'!C178</f>
        <v>JANELA DE ALUMÍNIO DE CORRER COM 2 FOLHAS PARA VIDROS (100X100CM), COM VIDROS, BATENTE, ACABAMENTO COM ACETATO OU BRILHANTE E FERRAGENS, INCLUSIVE ALIZAR E CONTRAMARCO - FORNECIMENTO E INSTALAÇÃO.</v>
      </c>
      <c r="E135" s="153" t="s">
        <v>309</v>
      </c>
      <c r="F135" s="84">
        <f>'MEMO CÁLCULO'!I135</f>
        <v>1</v>
      </c>
      <c r="G135" s="178">
        <f>'PMA ESQ'!H190</f>
        <v>585.16</v>
      </c>
      <c r="H135" s="44">
        <f t="shared" si="26"/>
        <v>748.19</v>
      </c>
      <c r="I135" s="380">
        <f t="shared" si="27"/>
        <v>748.19</v>
      </c>
    </row>
    <row r="136" spans="2:10" ht="63.75" x14ac:dyDescent="0.25">
      <c r="B136" s="379" t="s">
        <v>365</v>
      </c>
      <c r="C136" s="48" t="str">
        <f>'PMA ESQ'!B192</f>
        <v>PMA ESQ 016</v>
      </c>
      <c r="D136" s="34" t="str">
        <f>'PMA ESQ'!C192</f>
        <v>JANELA DE ALUMÍNIO DE CORRER COM 2 FOLHAS PARA VIDROS (100X120CM), COM VIDROS, BATENTE, ACABAMENTO COM ACETATO OU BRILHANTE E FERRAGENS, INCLUSIVE ALIZAR E CONTRAMARCO - FORNECIMENTO E INSTALAÇÃO.</v>
      </c>
      <c r="E136" s="153" t="s">
        <v>309</v>
      </c>
      <c r="F136" s="84">
        <f>'MEMO CÁLCULO'!I136</f>
        <v>2</v>
      </c>
      <c r="G136" s="178">
        <f>'PMA ESQ'!H204</f>
        <v>681.92</v>
      </c>
      <c r="H136" s="44">
        <f t="shared" si="26"/>
        <v>871.9</v>
      </c>
      <c r="I136" s="380">
        <f t="shared" si="27"/>
        <v>1743.8</v>
      </c>
    </row>
    <row r="137" spans="2:10" ht="63.75" x14ac:dyDescent="0.25">
      <c r="B137" s="379" t="s">
        <v>366</v>
      </c>
      <c r="C137" s="48" t="str">
        <f>'PMA ESQ'!B206</f>
        <v>PMA ESQ 017</v>
      </c>
      <c r="D137" s="342" t="str">
        <f>'PMA ESQ'!C206</f>
        <v>JANELA DE ALUMÍNIO DE CORRER COM 2 FOLHAS PARA VIDROS (100X120CM), PEITORIL (50X120CM), COM VIDROS, BATENTE, ACABAMENTO COM ACETATO OU BRILHANTE E FERRAGENS, INCLUSIVE ALIZAR E CONTRAMARCO</v>
      </c>
      <c r="E137" s="153" t="s">
        <v>309</v>
      </c>
      <c r="F137" s="84">
        <f>'MEMO CÁLCULO'!I137</f>
        <v>2</v>
      </c>
      <c r="G137" s="178">
        <f>'PMA ESQ'!H217</f>
        <v>1087.96</v>
      </c>
      <c r="H137" s="44">
        <f t="shared" si="26"/>
        <v>1391.07</v>
      </c>
      <c r="I137" s="380">
        <f t="shared" si="27"/>
        <v>2782.14</v>
      </c>
      <c r="J137" s="38" t="s">
        <v>796</v>
      </c>
    </row>
    <row r="138" spans="2:10" ht="63.75" x14ac:dyDescent="0.25">
      <c r="B138" s="379" t="s">
        <v>367</v>
      </c>
      <c r="C138" s="48" t="str">
        <f>'PMA ESQ'!B219</f>
        <v>PMA ESQ 018</v>
      </c>
      <c r="D138" s="34" t="str">
        <f>'PMA ESQ'!C219</f>
        <v>JANELA DE ALUMÍNIO DE CORRER COM 2 FOLHAS PARA VIDROS (100X150CM), COM VIDROS, BATENTE, ACABAMENTO COM ACETATO OU BRILHANTE E FERRAGENS, INCLUSIVE ALIZAR E CONTRAMARCO - FORNECIMENTO E INSTALAÇÃO.</v>
      </c>
      <c r="E138" s="153" t="s">
        <v>309</v>
      </c>
      <c r="F138" s="84">
        <f>'MEMO CÁLCULO'!I138</f>
        <v>7</v>
      </c>
      <c r="G138" s="178">
        <f>'PMA ESQ'!H231</f>
        <v>827.05</v>
      </c>
      <c r="H138" s="44">
        <f t="shared" si="26"/>
        <v>1057.47</v>
      </c>
      <c r="I138" s="380">
        <f t="shared" si="27"/>
        <v>7402.29</v>
      </c>
    </row>
    <row r="139" spans="2:10" ht="63.75" x14ac:dyDescent="0.25">
      <c r="B139" s="379" t="s">
        <v>368</v>
      </c>
      <c r="C139" s="48" t="str">
        <f>'PMA ESQ'!B233</f>
        <v>PMA ESQ 019</v>
      </c>
      <c r="D139" s="34" t="str">
        <f>'PMA ESQ'!C233</f>
        <v>JANELA DE ALUMÍNIO DE CORRER COM 2 FOLHAS PARA VIDROS (100X200CM), COM VIDROS, BATENTE, ACABAMENTO COM ACETATO OU BRILHANTE E FERRAGENS, INCLUSIVE ALIZAR E CONTRAMARCO - FORNECIMENTO E INSTALAÇÃO.</v>
      </c>
      <c r="E139" s="153" t="s">
        <v>309</v>
      </c>
      <c r="F139" s="84">
        <f>'MEMO CÁLCULO'!I139</f>
        <v>8</v>
      </c>
      <c r="G139" s="178">
        <f>'PMA ESQ'!H245</f>
        <v>1068.94</v>
      </c>
      <c r="H139" s="44">
        <f t="shared" si="26"/>
        <v>1366.75</v>
      </c>
      <c r="I139" s="380">
        <f t="shared" si="27"/>
        <v>10934</v>
      </c>
    </row>
    <row r="140" spans="2:10" ht="38.25" x14ac:dyDescent="0.25">
      <c r="B140" s="379" t="s">
        <v>369</v>
      </c>
      <c r="C140" s="48" t="str">
        <f>'PMA ESQ'!B247</f>
        <v>PMA ESQ 020</v>
      </c>
      <c r="D140" s="34" t="str">
        <f>'PMA ESQ'!B254</f>
        <v xml:space="preserve">TELA DE NYLON TIPO MOSQUITEIRA PARA CONTROLE DE PRAGAS 100 X 80 CM, COR BRANCA, MOLDURA EM PERFIL DE ALUMÍNIO </v>
      </c>
      <c r="E140" s="153" t="s">
        <v>309</v>
      </c>
      <c r="F140" s="84">
        <f>'MEMO CÁLCULO'!I140</f>
        <v>7</v>
      </c>
      <c r="G140" s="178">
        <f>'PMA ESQ'!H256</f>
        <v>125.58</v>
      </c>
      <c r="H140" s="44">
        <f t="shared" si="26"/>
        <v>160.57</v>
      </c>
      <c r="I140" s="380">
        <f t="shared" si="27"/>
        <v>1123.99</v>
      </c>
    </row>
    <row r="141" spans="2:10" ht="38.25" x14ac:dyDescent="0.25">
      <c r="B141" s="379" t="s">
        <v>370</v>
      </c>
      <c r="C141" s="48" t="str">
        <f>'PMA ESQ'!B258</f>
        <v>PMA ESQ 021</v>
      </c>
      <c r="D141" s="34" t="str">
        <f>'PMA ESQ'!B265</f>
        <v xml:space="preserve">TELA DE NYLON TIPO MOSQUITEIRA PARA CONTROLE DE PRAGAS 100 X 100 CM, COR BRANCA, MOLDURA EM PERFIL DE ALUMÍNIO </v>
      </c>
      <c r="E141" s="153" t="s">
        <v>309</v>
      </c>
      <c r="F141" s="84">
        <f>'MEMO CÁLCULO'!I141</f>
        <v>1</v>
      </c>
      <c r="G141" s="178">
        <f>'PMA ESQ'!H267</f>
        <v>156.97</v>
      </c>
      <c r="H141" s="44">
        <f t="shared" si="26"/>
        <v>200.7</v>
      </c>
      <c r="I141" s="380">
        <f t="shared" si="27"/>
        <v>200.7</v>
      </c>
    </row>
    <row r="142" spans="2:10" ht="38.25" x14ac:dyDescent="0.25">
      <c r="B142" s="379" t="s">
        <v>659</v>
      </c>
      <c r="C142" s="48" t="str">
        <f>'PMA ESQ'!B269</f>
        <v>PMA ESQ 022</v>
      </c>
      <c r="D142" s="20" t="str">
        <f>'PMA ESQ'!B276</f>
        <v xml:space="preserve">TELA DE NYLON TIPO MOSQUITEIRA PARA CONTROLE DE PRAGAS 100 X 120 CM, COR BRANCA, MOLDURA EM PERFIL DE ALUMÍNIO </v>
      </c>
      <c r="E142" s="153" t="s">
        <v>309</v>
      </c>
      <c r="F142" s="84">
        <f>'MEMO CÁLCULO'!I142</f>
        <v>2</v>
      </c>
      <c r="G142" s="178">
        <f>'PMA ESQ'!H278</f>
        <v>188</v>
      </c>
      <c r="H142" s="44">
        <f t="shared" si="26"/>
        <v>240.38</v>
      </c>
      <c r="I142" s="380">
        <f t="shared" si="27"/>
        <v>480.76</v>
      </c>
    </row>
    <row r="143" spans="2:10" ht="38.25" x14ac:dyDescent="0.25">
      <c r="B143" s="379" t="s">
        <v>660</v>
      </c>
      <c r="C143" s="48" t="str">
        <f>'PMA ESQ'!B280</f>
        <v>PMA ESQ 023</v>
      </c>
      <c r="D143" s="34" t="str">
        <f>'PMA ESQ'!B287</f>
        <v xml:space="preserve">TELA DE NYLON TIPO MOSQUITEIRA PARA CONTROLE DE PRAGAS 100 X 150 CM, COR BRANCA, MOLDURA EM PERFIL DE ALUMÍNIO </v>
      </c>
      <c r="E143" s="153" t="s">
        <v>309</v>
      </c>
      <c r="F143" s="84">
        <f>'MEMO CÁLCULO'!I143</f>
        <v>10</v>
      </c>
      <c r="G143" s="178">
        <f>'PMA ESQ'!H289</f>
        <v>235.01</v>
      </c>
      <c r="H143" s="44">
        <f t="shared" si="26"/>
        <v>300.48</v>
      </c>
      <c r="I143" s="380">
        <f t="shared" si="27"/>
        <v>3004.8</v>
      </c>
    </row>
    <row r="144" spans="2:10" ht="38.25" x14ac:dyDescent="0.25">
      <c r="B144" s="379" t="s">
        <v>661</v>
      </c>
      <c r="C144" s="48" t="str">
        <f>'PMA ESQ'!B291</f>
        <v>PMA ESQ 024</v>
      </c>
      <c r="D144" s="34" t="str">
        <f>'PMA ESQ'!B298</f>
        <v xml:space="preserve">TELA DE NYLON TIPO MOSQUITEIRA PARA CONTROLE DE PRAGAS 100 X 200 CM, COR BRANCA, MOLDURA EM PERFIL DE ALUMÍNIO </v>
      </c>
      <c r="E144" s="153" t="s">
        <v>309</v>
      </c>
      <c r="F144" s="84">
        <f>'MEMO CÁLCULO'!I144</f>
        <v>8</v>
      </c>
      <c r="G144" s="178">
        <f>'PMA ESQ'!H300</f>
        <v>313.33999999999997</v>
      </c>
      <c r="H144" s="44">
        <f t="shared" si="26"/>
        <v>400.64</v>
      </c>
      <c r="I144" s="380">
        <f t="shared" si="27"/>
        <v>3205.12</v>
      </c>
    </row>
    <row r="145" spans="2:9" x14ac:dyDescent="0.25">
      <c r="B145" s="481" t="s">
        <v>1662</v>
      </c>
      <c r="C145" s="482"/>
      <c r="D145" s="482"/>
      <c r="E145" s="482"/>
      <c r="F145" s="482"/>
      <c r="G145" s="482"/>
      <c r="H145" s="482"/>
      <c r="I145" s="381">
        <f>SUM(I120:I144)</f>
        <v>168132.91</v>
      </c>
    </row>
    <row r="146" spans="2:9" x14ac:dyDescent="0.25">
      <c r="B146" s="378" t="s">
        <v>68</v>
      </c>
      <c r="C146" s="339"/>
      <c r="D146" s="343" t="s">
        <v>67</v>
      </c>
      <c r="E146" s="339"/>
      <c r="F146" s="344"/>
      <c r="G146" s="345"/>
      <c r="H146" s="341"/>
      <c r="I146" s="386"/>
    </row>
    <row r="147" spans="2:9" ht="51" x14ac:dyDescent="0.25">
      <c r="B147" s="379" t="s">
        <v>169</v>
      </c>
      <c r="C147" s="153">
        <v>86931</v>
      </c>
      <c r="D147" s="24" t="s">
        <v>306</v>
      </c>
      <c r="E147" s="153" t="s">
        <v>309</v>
      </c>
      <c r="F147" s="207">
        <v>9</v>
      </c>
      <c r="G147" s="178">
        <v>500.7</v>
      </c>
      <c r="H147" s="44">
        <f t="shared" ref="H147:H168" si="28">G147*($F$6+1)</f>
        <v>640.20000000000005</v>
      </c>
      <c r="I147" s="380">
        <f t="shared" ref="I147:I168" si="29">H147*F147</f>
        <v>5761.8</v>
      </c>
    </row>
    <row r="148" spans="2:9" ht="25.5" x14ac:dyDescent="0.25">
      <c r="B148" s="379" t="s">
        <v>170</v>
      </c>
      <c r="C148" s="153">
        <v>100849</v>
      </c>
      <c r="D148" s="24" t="s">
        <v>318</v>
      </c>
      <c r="E148" s="153" t="s">
        <v>309</v>
      </c>
      <c r="F148" s="207">
        <v>9</v>
      </c>
      <c r="G148" s="178">
        <v>44.24</v>
      </c>
      <c r="H148" s="44">
        <f t="shared" si="28"/>
        <v>56.57</v>
      </c>
      <c r="I148" s="380">
        <f t="shared" si="29"/>
        <v>509.13</v>
      </c>
    </row>
    <row r="149" spans="2:9" ht="38.25" x14ac:dyDescent="0.25">
      <c r="B149" s="379" t="s">
        <v>171</v>
      </c>
      <c r="C149" s="48">
        <v>86904</v>
      </c>
      <c r="D149" s="24" t="s">
        <v>307</v>
      </c>
      <c r="E149" s="153" t="s">
        <v>309</v>
      </c>
      <c r="F149" s="207">
        <v>27</v>
      </c>
      <c r="G149" s="178">
        <v>145.80000000000001</v>
      </c>
      <c r="H149" s="44">
        <f t="shared" si="28"/>
        <v>186.42</v>
      </c>
      <c r="I149" s="380">
        <f t="shared" si="29"/>
        <v>5033.34</v>
      </c>
    </row>
    <row r="150" spans="2:9" ht="38.25" x14ac:dyDescent="0.25">
      <c r="B150" s="379" t="s">
        <v>212</v>
      </c>
      <c r="C150" s="48">
        <v>86872</v>
      </c>
      <c r="D150" s="24" t="s">
        <v>315</v>
      </c>
      <c r="E150" s="153" t="s">
        <v>309</v>
      </c>
      <c r="F150" s="207">
        <v>1</v>
      </c>
      <c r="G150" s="178">
        <v>711.74</v>
      </c>
      <c r="H150" s="44">
        <f t="shared" si="28"/>
        <v>910.03</v>
      </c>
      <c r="I150" s="380">
        <f t="shared" si="29"/>
        <v>910.03</v>
      </c>
    </row>
    <row r="151" spans="2:9" ht="38.25" x14ac:dyDescent="0.25">
      <c r="B151" s="379" t="s">
        <v>272</v>
      </c>
      <c r="C151" s="48" t="str">
        <f>'PMA HID'!B9</f>
        <v>PMA HID 001</v>
      </c>
      <c r="D151" s="24" t="s">
        <v>314</v>
      </c>
      <c r="E151" s="153" t="s">
        <v>309</v>
      </c>
      <c r="F151" s="207">
        <v>28</v>
      </c>
      <c r="G151" s="178">
        <f>'PMA HID'!H15</f>
        <v>152.62</v>
      </c>
      <c r="H151" s="44">
        <f t="shared" si="28"/>
        <v>195.14</v>
      </c>
      <c r="I151" s="380">
        <f t="shared" si="29"/>
        <v>5463.92</v>
      </c>
    </row>
    <row r="152" spans="2:9" ht="38.25" x14ac:dyDescent="0.25">
      <c r="B152" s="379" t="s">
        <v>637</v>
      </c>
      <c r="C152" s="48" t="str">
        <f>'PMA HID'!B17</f>
        <v>PMA HID 002</v>
      </c>
      <c r="D152" s="296" t="s">
        <v>327</v>
      </c>
      <c r="E152" s="153" t="s">
        <v>309</v>
      </c>
      <c r="F152" s="207">
        <v>6</v>
      </c>
      <c r="G152" s="178">
        <f>'PMA HID'!H23</f>
        <v>227.98</v>
      </c>
      <c r="H152" s="44">
        <f t="shared" si="28"/>
        <v>291.5</v>
      </c>
      <c r="I152" s="380">
        <f t="shared" si="29"/>
        <v>1749</v>
      </c>
    </row>
    <row r="153" spans="2:9" ht="38.25" x14ac:dyDescent="0.25">
      <c r="B153" s="379" t="s">
        <v>638</v>
      </c>
      <c r="C153" s="48">
        <v>86909</v>
      </c>
      <c r="D153" s="24" t="s">
        <v>316</v>
      </c>
      <c r="E153" s="153" t="s">
        <v>309</v>
      </c>
      <c r="F153" s="207">
        <v>1</v>
      </c>
      <c r="G153" s="178">
        <v>131.43</v>
      </c>
      <c r="H153" s="44">
        <f t="shared" si="28"/>
        <v>168.05</v>
      </c>
      <c r="I153" s="380">
        <f t="shared" si="29"/>
        <v>168.05</v>
      </c>
    </row>
    <row r="154" spans="2:9" ht="25.5" x14ac:dyDescent="0.25">
      <c r="B154" s="379" t="s">
        <v>639</v>
      </c>
      <c r="C154" s="48" t="str">
        <f>'PMA HID'!B25</f>
        <v>PMA HID 003</v>
      </c>
      <c r="D154" s="24" t="s">
        <v>329</v>
      </c>
      <c r="E154" s="153" t="s">
        <v>309</v>
      </c>
      <c r="F154" s="207">
        <v>5</v>
      </c>
      <c r="G154" s="178">
        <f>'PMA HID'!H31</f>
        <v>78.59</v>
      </c>
      <c r="H154" s="44">
        <f t="shared" si="28"/>
        <v>100.49</v>
      </c>
      <c r="I154" s="380">
        <f t="shared" si="29"/>
        <v>502.45</v>
      </c>
    </row>
    <row r="155" spans="2:9" ht="38.25" x14ac:dyDescent="0.25">
      <c r="B155" s="379" t="s">
        <v>640</v>
      </c>
      <c r="C155" s="48" t="str">
        <f>'PMA HID'!B33</f>
        <v>PMA HID 004</v>
      </c>
      <c r="D155" s="296" t="s">
        <v>328</v>
      </c>
      <c r="E155" s="153" t="s">
        <v>309</v>
      </c>
      <c r="F155" s="207">
        <v>2</v>
      </c>
      <c r="G155" s="178">
        <f>'PMA HID'!H39</f>
        <v>130.32</v>
      </c>
      <c r="H155" s="44">
        <f t="shared" si="28"/>
        <v>166.63</v>
      </c>
      <c r="I155" s="380">
        <f t="shared" si="29"/>
        <v>333.26</v>
      </c>
    </row>
    <row r="156" spans="2:9" ht="38.25" x14ac:dyDescent="0.25">
      <c r="B156" s="379" t="s">
        <v>641</v>
      </c>
      <c r="C156" s="48">
        <v>86877</v>
      </c>
      <c r="D156" s="24" t="s">
        <v>323</v>
      </c>
      <c r="E156" s="153" t="s">
        <v>309</v>
      </c>
      <c r="F156" s="208">
        <f>F149+F150</f>
        <v>28</v>
      </c>
      <c r="G156" s="178">
        <v>69.92</v>
      </c>
      <c r="H156" s="44">
        <f t="shared" si="28"/>
        <v>89.4</v>
      </c>
      <c r="I156" s="380">
        <f t="shared" si="29"/>
        <v>2503.1999999999998</v>
      </c>
    </row>
    <row r="157" spans="2:9" ht="38.25" x14ac:dyDescent="0.25">
      <c r="B157" s="379" t="s">
        <v>642</v>
      </c>
      <c r="C157" s="48" t="str">
        <f>'PMA HID'!B41</f>
        <v>PMA HID 005</v>
      </c>
      <c r="D157" s="24" t="s">
        <v>340</v>
      </c>
      <c r="E157" s="153" t="s">
        <v>309</v>
      </c>
      <c r="F157" s="207">
        <v>21</v>
      </c>
      <c r="G157" s="178">
        <f>'PMA HID'!H47</f>
        <v>937.54</v>
      </c>
      <c r="H157" s="44">
        <f t="shared" si="28"/>
        <v>1198.74</v>
      </c>
      <c r="I157" s="380">
        <f t="shared" si="29"/>
        <v>25173.54</v>
      </c>
    </row>
    <row r="158" spans="2:9" ht="38.25" x14ac:dyDescent="0.25">
      <c r="B158" s="379" t="s">
        <v>643</v>
      </c>
      <c r="C158" s="48">
        <v>100866</v>
      </c>
      <c r="D158" s="24" t="s">
        <v>339</v>
      </c>
      <c r="E158" s="153" t="s">
        <v>309</v>
      </c>
      <c r="F158" s="207">
        <v>1</v>
      </c>
      <c r="G158" s="178">
        <v>304.70999999999998</v>
      </c>
      <c r="H158" s="44">
        <f t="shared" si="28"/>
        <v>389.6</v>
      </c>
      <c r="I158" s="380">
        <f t="shared" si="29"/>
        <v>389.6</v>
      </c>
    </row>
    <row r="159" spans="2:9" ht="38.25" x14ac:dyDescent="0.25">
      <c r="B159" s="379" t="s">
        <v>644</v>
      </c>
      <c r="C159" s="48">
        <v>100867</v>
      </c>
      <c r="D159" s="24" t="s">
        <v>341</v>
      </c>
      <c r="E159" s="153" t="s">
        <v>309</v>
      </c>
      <c r="F159" s="207">
        <v>9</v>
      </c>
      <c r="G159" s="178">
        <v>323.76</v>
      </c>
      <c r="H159" s="44">
        <f t="shared" si="28"/>
        <v>413.96</v>
      </c>
      <c r="I159" s="380">
        <f t="shared" si="29"/>
        <v>3725.64</v>
      </c>
    </row>
    <row r="160" spans="2:9" ht="38.25" x14ac:dyDescent="0.25">
      <c r="B160" s="379" t="s">
        <v>645</v>
      </c>
      <c r="C160" s="48">
        <v>100868</v>
      </c>
      <c r="D160" s="24" t="s">
        <v>342</v>
      </c>
      <c r="E160" s="153" t="s">
        <v>309</v>
      </c>
      <c r="F160" s="207">
        <v>14</v>
      </c>
      <c r="G160" s="178">
        <v>336.43</v>
      </c>
      <c r="H160" s="44">
        <f t="shared" si="28"/>
        <v>430.16</v>
      </c>
      <c r="I160" s="380">
        <f t="shared" si="29"/>
        <v>6022.24</v>
      </c>
    </row>
    <row r="161" spans="2:9" ht="38.25" x14ac:dyDescent="0.25">
      <c r="B161" s="379" t="s">
        <v>646</v>
      </c>
      <c r="C161" s="48" t="str">
        <f>'PMA HID'!B49</f>
        <v>PMA HID 006</v>
      </c>
      <c r="D161" s="24" t="str">
        <f>'PMA HID'!C49</f>
        <v>CHUVEIRO COMUM EM PLASTICO BRANCO, COM CANO, 3 TEMPERATURAS - FORNECIMENTO E INSTALAÇÃO. AF_01/2020</v>
      </c>
      <c r="E161" s="153" t="s">
        <v>309</v>
      </c>
      <c r="F161" s="207">
        <v>3</v>
      </c>
      <c r="G161" s="178">
        <f>'PMA HID'!H55</f>
        <v>96.05</v>
      </c>
      <c r="H161" s="44">
        <f t="shared" si="28"/>
        <v>122.81</v>
      </c>
      <c r="I161" s="380">
        <f t="shared" si="29"/>
        <v>368.43</v>
      </c>
    </row>
    <row r="162" spans="2:9" ht="51" x14ac:dyDescent="0.25">
      <c r="B162" s="379" t="s">
        <v>647</v>
      </c>
      <c r="C162" s="48" t="str">
        <f>'PMA HID'!B57</f>
        <v>PMA HID 007</v>
      </c>
      <c r="D162" s="24" t="s">
        <v>347</v>
      </c>
      <c r="E162" s="153" t="s">
        <v>309</v>
      </c>
      <c r="F162" s="207">
        <v>14</v>
      </c>
      <c r="G162" s="178">
        <f>'PMA HID'!H65</f>
        <v>22.38</v>
      </c>
      <c r="H162" s="44">
        <f t="shared" si="28"/>
        <v>28.62</v>
      </c>
      <c r="I162" s="380">
        <f t="shared" si="29"/>
        <v>400.68</v>
      </c>
    </row>
    <row r="163" spans="2:9" ht="25.5" x14ac:dyDescent="0.25">
      <c r="B163" s="379" t="s">
        <v>648</v>
      </c>
      <c r="C163" s="48" t="str">
        <f>'PMA HID'!B67</f>
        <v>PMA HID 008</v>
      </c>
      <c r="D163" s="24" t="s">
        <v>372</v>
      </c>
      <c r="E163" s="153" t="s">
        <v>309</v>
      </c>
      <c r="F163" s="207">
        <v>7</v>
      </c>
      <c r="G163" s="178">
        <f>'PMA HID'!H75</f>
        <v>897.93</v>
      </c>
      <c r="H163" s="44">
        <f t="shared" si="28"/>
        <v>1148.0899999999999</v>
      </c>
      <c r="I163" s="380">
        <f t="shared" si="29"/>
        <v>8036.63</v>
      </c>
    </row>
    <row r="164" spans="2:9" ht="25.5" x14ac:dyDescent="0.25">
      <c r="B164" s="379" t="s">
        <v>649</v>
      </c>
      <c r="C164" s="48" t="str">
        <f>'PMA HID'!B77</f>
        <v>PMA HID 009</v>
      </c>
      <c r="D164" s="24" t="s">
        <v>381</v>
      </c>
      <c r="E164" s="153" t="s">
        <v>309</v>
      </c>
      <c r="F164" s="207">
        <v>1</v>
      </c>
      <c r="G164" s="178">
        <f>'PMA HID'!H86</f>
        <v>10712.95</v>
      </c>
      <c r="H164" s="44">
        <f t="shared" si="28"/>
        <v>13697.58</v>
      </c>
      <c r="I164" s="380">
        <f t="shared" si="29"/>
        <v>13697.58</v>
      </c>
    </row>
    <row r="165" spans="2:9" ht="38.25" x14ac:dyDescent="0.25">
      <c r="B165" s="379" t="s">
        <v>650</v>
      </c>
      <c r="C165" s="48" t="str">
        <f>'PMA HID'!B88</f>
        <v>PMA HID 010</v>
      </c>
      <c r="D165" s="24" t="s">
        <v>373</v>
      </c>
      <c r="E165" s="153" t="s">
        <v>309</v>
      </c>
      <c r="F165" s="207">
        <v>1</v>
      </c>
      <c r="G165" s="178">
        <f>'PMA HID'!H97</f>
        <v>5397.5</v>
      </c>
      <c r="H165" s="44">
        <f t="shared" si="28"/>
        <v>6901.24</v>
      </c>
      <c r="I165" s="380">
        <f t="shared" si="29"/>
        <v>6901.24</v>
      </c>
    </row>
    <row r="166" spans="2:9" ht="25.5" x14ac:dyDescent="0.25">
      <c r="B166" s="379" t="s">
        <v>651</v>
      </c>
      <c r="C166" s="48" t="str">
        <f>'PMA HID'!B99</f>
        <v>PMA HID 011</v>
      </c>
      <c r="D166" s="24" t="s">
        <v>385</v>
      </c>
      <c r="E166" s="153" t="s">
        <v>309</v>
      </c>
      <c r="F166" s="207">
        <v>1</v>
      </c>
      <c r="G166" s="178">
        <f>'PMA HID'!H107</f>
        <v>1969.66</v>
      </c>
      <c r="H166" s="44">
        <f t="shared" si="28"/>
        <v>2518.41</v>
      </c>
      <c r="I166" s="380">
        <f t="shared" si="29"/>
        <v>2518.41</v>
      </c>
    </row>
    <row r="167" spans="2:9" ht="51" x14ac:dyDescent="0.25">
      <c r="B167" s="379" t="s">
        <v>652</v>
      </c>
      <c r="C167" s="48" t="str">
        <f>'PMA HID'!B109</f>
        <v>PMA HID 012</v>
      </c>
      <c r="D167" s="24" t="s">
        <v>399</v>
      </c>
      <c r="E167" s="153" t="s">
        <v>309</v>
      </c>
      <c r="F167" s="207">
        <v>1</v>
      </c>
      <c r="G167" s="178">
        <f>'PMA HID'!H114</f>
        <v>1859.03</v>
      </c>
      <c r="H167" s="44">
        <f t="shared" si="28"/>
        <v>2376.96</v>
      </c>
      <c r="I167" s="380">
        <f t="shared" si="29"/>
        <v>2376.96</v>
      </c>
    </row>
    <row r="168" spans="2:9" ht="51" x14ac:dyDescent="0.25">
      <c r="B168" s="379" t="s">
        <v>653</v>
      </c>
      <c r="C168" s="48">
        <v>86935</v>
      </c>
      <c r="D168" s="24" t="s">
        <v>392</v>
      </c>
      <c r="E168" s="153" t="s">
        <v>309</v>
      </c>
      <c r="F168" s="207">
        <v>1</v>
      </c>
      <c r="G168" s="178">
        <v>339.73</v>
      </c>
      <c r="H168" s="44">
        <f t="shared" si="28"/>
        <v>434.38</v>
      </c>
      <c r="I168" s="380">
        <f t="shared" si="29"/>
        <v>434.38</v>
      </c>
    </row>
    <row r="169" spans="2:9" x14ac:dyDescent="0.25">
      <c r="B169" s="481" t="s">
        <v>1661</v>
      </c>
      <c r="C169" s="482"/>
      <c r="D169" s="482"/>
      <c r="E169" s="482"/>
      <c r="F169" s="482"/>
      <c r="G169" s="482"/>
      <c r="H169" s="482"/>
      <c r="I169" s="381">
        <f>SUM(I147:I168)</f>
        <v>92979.51</v>
      </c>
    </row>
    <row r="170" spans="2:9" x14ac:dyDescent="0.25">
      <c r="B170" s="378" t="s">
        <v>69</v>
      </c>
      <c r="C170" s="339"/>
      <c r="D170" s="450" t="s">
        <v>71</v>
      </c>
      <c r="E170" s="450"/>
      <c r="F170" s="450"/>
      <c r="G170" s="450"/>
      <c r="H170" s="450"/>
      <c r="I170" s="494"/>
    </row>
    <row r="171" spans="2:9" ht="51" x14ac:dyDescent="0.25">
      <c r="B171" s="379" t="s">
        <v>213</v>
      </c>
      <c r="C171" s="48">
        <v>98084</v>
      </c>
      <c r="D171" s="24" t="s">
        <v>1749</v>
      </c>
      <c r="E171" s="48" t="s">
        <v>309</v>
      </c>
      <c r="F171" s="207">
        <v>1</v>
      </c>
      <c r="G171" s="178">
        <v>6611.11</v>
      </c>
      <c r="H171" s="44">
        <f t="shared" ref="H171:H172" si="30">G171*($F$6+1)</f>
        <v>8452.9699999999993</v>
      </c>
      <c r="I171" s="380">
        <f t="shared" ref="I171:I172" si="31">F171*H171</f>
        <v>8452.9699999999993</v>
      </c>
    </row>
    <row r="172" spans="2:9" ht="51" x14ac:dyDescent="0.25">
      <c r="B172" s="379" t="s">
        <v>214</v>
      </c>
      <c r="C172" s="48">
        <v>98101</v>
      </c>
      <c r="D172" s="24" t="s">
        <v>1741</v>
      </c>
      <c r="E172" s="48" t="s">
        <v>309</v>
      </c>
      <c r="F172" s="207">
        <v>1</v>
      </c>
      <c r="G172" s="178">
        <v>8457.25</v>
      </c>
      <c r="H172" s="44">
        <f t="shared" si="30"/>
        <v>10813.44</v>
      </c>
      <c r="I172" s="380">
        <f t="shared" si="31"/>
        <v>10813.44</v>
      </c>
    </row>
    <row r="173" spans="2:9" x14ac:dyDescent="0.25">
      <c r="B173" s="495" t="s">
        <v>1708</v>
      </c>
      <c r="C173" s="447"/>
      <c r="D173" s="447"/>
      <c r="E173" s="447"/>
      <c r="F173" s="447"/>
      <c r="G173" s="447"/>
      <c r="H173" s="447"/>
      <c r="I173" s="496"/>
    </row>
    <row r="174" spans="2:9" ht="38.25" x14ac:dyDescent="0.25">
      <c r="B174" s="379" t="s">
        <v>215</v>
      </c>
      <c r="C174" s="48">
        <v>89356</v>
      </c>
      <c r="D174" s="24" t="s">
        <v>400</v>
      </c>
      <c r="E174" s="48" t="s">
        <v>248</v>
      </c>
      <c r="F174" s="207">
        <v>156</v>
      </c>
      <c r="G174" s="178">
        <v>20.74</v>
      </c>
      <c r="H174" s="44">
        <f t="shared" ref="H174:H224" si="32">G174*($F$6+1)</f>
        <v>26.52</v>
      </c>
      <c r="I174" s="380">
        <f t="shared" ref="I174:I224" si="33">F174*H174</f>
        <v>4137.12</v>
      </c>
    </row>
    <row r="175" spans="2:9" ht="38.25" x14ac:dyDescent="0.25">
      <c r="B175" s="379" t="s">
        <v>216</v>
      </c>
      <c r="C175" s="48">
        <v>89357</v>
      </c>
      <c r="D175" s="24" t="s">
        <v>401</v>
      </c>
      <c r="E175" s="48" t="s">
        <v>248</v>
      </c>
      <c r="F175" s="207">
        <v>56</v>
      </c>
      <c r="G175" s="178">
        <v>30.02</v>
      </c>
      <c r="H175" s="44">
        <f t="shared" si="32"/>
        <v>38.380000000000003</v>
      </c>
      <c r="I175" s="380">
        <f t="shared" si="33"/>
        <v>2149.2800000000002</v>
      </c>
    </row>
    <row r="176" spans="2:9" ht="38.25" x14ac:dyDescent="0.25">
      <c r="B176" s="379" t="s">
        <v>566</v>
      </c>
      <c r="C176" s="48" t="str">
        <f>'PMA HID'!B116</f>
        <v>PMA HID 013</v>
      </c>
      <c r="D176" s="24" t="s">
        <v>402</v>
      </c>
      <c r="E176" s="48" t="s">
        <v>248</v>
      </c>
      <c r="F176" s="207">
        <v>26</v>
      </c>
      <c r="G176" s="178">
        <f>'PMA HID'!H122</f>
        <v>41.04</v>
      </c>
      <c r="H176" s="44">
        <f t="shared" si="32"/>
        <v>52.47</v>
      </c>
      <c r="I176" s="380">
        <f t="shared" si="33"/>
        <v>1364.22</v>
      </c>
    </row>
    <row r="177" spans="2:12" ht="38.25" x14ac:dyDescent="0.25">
      <c r="B177" s="379" t="s">
        <v>567</v>
      </c>
      <c r="C177" s="48" t="str">
        <f>'PMA HID'!B124</f>
        <v>PMA HID 014</v>
      </c>
      <c r="D177" s="24" t="s">
        <v>403</v>
      </c>
      <c r="E177" s="48" t="s">
        <v>248</v>
      </c>
      <c r="F177" s="207">
        <v>36</v>
      </c>
      <c r="G177" s="178">
        <f>'PMA HID'!H130</f>
        <v>48.43</v>
      </c>
      <c r="H177" s="44">
        <f t="shared" si="32"/>
        <v>61.92</v>
      </c>
      <c r="I177" s="380">
        <f t="shared" si="33"/>
        <v>2229.12</v>
      </c>
    </row>
    <row r="178" spans="2:12" ht="38.25" x14ac:dyDescent="0.25">
      <c r="B178" s="379" t="s">
        <v>568</v>
      </c>
      <c r="C178" s="48">
        <v>89362</v>
      </c>
      <c r="D178" s="24" t="s">
        <v>410</v>
      </c>
      <c r="E178" s="153" t="s">
        <v>309</v>
      </c>
      <c r="F178" s="209">
        <v>77</v>
      </c>
      <c r="G178" s="178">
        <v>8.24</v>
      </c>
      <c r="H178" s="44">
        <f t="shared" si="32"/>
        <v>10.54</v>
      </c>
      <c r="I178" s="380">
        <f t="shared" si="33"/>
        <v>811.58</v>
      </c>
    </row>
    <row r="179" spans="2:12" ht="38.25" x14ac:dyDescent="0.25">
      <c r="B179" s="379" t="s">
        <v>569</v>
      </c>
      <c r="C179" s="48" t="str">
        <f>'PMA HID'!B132</f>
        <v>PMA HID 015</v>
      </c>
      <c r="D179" s="24" t="s">
        <v>413</v>
      </c>
      <c r="E179" s="153" t="s">
        <v>309</v>
      </c>
      <c r="F179" s="209">
        <v>4</v>
      </c>
      <c r="G179" s="178">
        <f>'PMA HID'!H140</f>
        <v>12.38</v>
      </c>
      <c r="H179" s="44">
        <f t="shared" si="32"/>
        <v>15.83</v>
      </c>
      <c r="I179" s="380">
        <f t="shared" si="33"/>
        <v>63.32</v>
      </c>
    </row>
    <row r="180" spans="2:12" ht="38.25" x14ac:dyDescent="0.25">
      <c r="B180" s="379" t="s">
        <v>570</v>
      </c>
      <c r="C180" s="48" t="str">
        <f>'PMA HID'!B142</f>
        <v>PMA HID 016</v>
      </c>
      <c r="D180" s="24" t="s">
        <v>414</v>
      </c>
      <c r="E180" s="153" t="s">
        <v>309</v>
      </c>
      <c r="F180" s="209">
        <v>8</v>
      </c>
      <c r="G180" s="178">
        <f>'PMA HID'!H150</f>
        <v>20.87</v>
      </c>
      <c r="H180" s="44">
        <f t="shared" si="32"/>
        <v>26.68</v>
      </c>
      <c r="I180" s="380">
        <f t="shared" si="33"/>
        <v>213.44</v>
      </c>
    </row>
    <row r="181" spans="2:12" ht="51" x14ac:dyDescent="0.25">
      <c r="B181" s="379" t="s">
        <v>571</v>
      </c>
      <c r="C181" s="48">
        <v>90373</v>
      </c>
      <c r="D181" s="24" t="s">
        <v>419</v>
      </c>
      <c r="E181" s="153" t="s">
        <v>309</v>
      </c>
      <c r="F181" s="207">
        <v>47</v>
      </c>
      <c r="G181" s="178">
        <v>13.04</v>
      </c>
      <c r="H181" s="44">
        <f t="shared" si="32"/>
        <v>16.670000000000002</v>
      </c>
      <c r="I181" s="380">
        <f t="shared" si="33"/>
        <v>783.49</v>
      </c>
    </row>
    <row r="182" spans="2:12" ht="38.25" x14ac:dyDescent="0.25">
      <c r="B182" s="379" t="s">
        <v>572</v>
      </c>
      <c r="C182" s="48">
        <v>103948</v>
      </c>
      <c r="D182" s="24" t="s">
        <v>984</v>
      </c>
      <c r="E182" s="153" t="s">
        <v>309</v>
      </c>
      <c r="F182" s="207">
        <v>8</v>
      </c>
      <c r="G182" s="178">
        <v>7.11</v>
      </c>
      <c r="H182" s="44">
        <f t="shared" si="32"/>
        <v>9.09</v>
      </c>
      <c r="I182" s="380">
        <f t="shared" si="33"/>
        <v>72.72</v>
      </c>
    </row>
    <row r="183" spans="2:12" ht="38.25" x14ac:dyDescent="0.25">
      <c r="B183" s="379" t="s">
        <v>573</v>
      </c>
      <c r="C183" s="48">
        <v>103993</v>
      </c>
      <c r="D183" s="24" t="s">
        <v>428</v>
      </c>
      <c r="E183" s="153" t="s">
        <v>309</v>
      </c>
      <c r="F183" s="207">
        <v>2</v>
      </c>
      <c r="G183" s="178">
        <v>9.2799999999999994</v>
      </c>
      <c r="H183" s="44">
        <f t="shared" si="32"/>
        <v>11.87</v>
      </c>
      <c r="I183" s="380">
        <f t="shared" si="33"/>
        <v>23.74</v>
      </c>
    </row>
    <row r="184" spans="2:12" ht="38.25" x14ac:dyDescent="0.25">
      <c r="B184" s="379" t="s">
        <v>574</v>
      </c>
      <c r="C184" s="48">
        <v>89395</v>
      </c>
      <c r="D184" s="24" t="s">
        <v>429</v>
      </c>
      <c r="E184" s="153" t="s">
        <v>309</v>
      </c>
      <c r="F184" s="207">
        <v>23</v>
      </c>
      <c r="G184" s="178">
        <v>11.47</v>
      </c>
      <c r="H184" s="44">
        <f t="shared" si="32"/>
        <v>14.67</v>
      </c>
      <c r="I184" s="380">
        <f t="shared" si="33"/>
        <v>337.41</v>
      </c>
    </row>
    <row r="185" spans="2:12" ht="38.25" x14ac:dyDescent="0.25">
      <c r="B185" s="379" t="s">
        <v>575</v>
      </c>
      <c r="C185" s="48" t="str">
        <f>'PMA HID'!B152</f>
        <v>PMA HID 017</v>
      </c>
      <c r="D185" s="24" t="s">
        <v>430</v>
      </c>
      <c r="E185" s="153" t="s">
        <v>309</v>
      </c>
      <c r="F185" s="207">
        <v>4</v>
      </c>
      <c r="G185" s="178">
        <f>'PMA HID'!H160</f>
        <v>27.6</v>
      </c>
      <c r="H185" s="44">
        <f t="shared" si="32"/>
        <v>35.29</v>
      </c>
      <c r="I185" s="380">
        <f t="shared" si="33"/>
        <v>141.16</v>
      </c>
    </row>
    <row r="186" spans="2:12" ht="38.25" x14ac:dyDescent="0.25">
      <c r="B186" s="379" t="s">
        <v>576</v>
      </c>
      <c r="C186" s="48">
        <v>89400</v>
      </c>
      <c r="D186" s="24" t="s">
        <v>436</v>
      </c>
      <c r="E186" s="153" t="s">
        <v>309</v>
      </c>
      <c r="F186" s="207">
        <v>12</v>
      </c>
      <c r="G186" s="178">
        <v>19.510000000000002</v>
      </c>
      <c r="H186" s="44">
        <f t="shared" si="32"/>
        <v>24.95</v>
      </c>
      <c r="I186" s="380">
        <f t="shared" si="33"/>
        <v>299.39999999999998</v>
      </c>
    </row>
    <row r="187" spans="2:12" ht="38.25" x14ac:dyDescent="0.25">
      <c r="B187" s="379" t="s">
        <v>577</v>
      </c>
      <c r="C187" s="48" t="str">
        <f>'PMA HID'!B162</f>
        <v>PMA HID 018</v>
      </c>
      <c r="D187" s="24" t="s">
        <v>439</v>
      </c>
      <c r="E187" s="153" t="s">
        <v>309</v>
      </c>
      <c r="F187" s="207">
        <v>2</v>
      </c>
      <c r="G187" s="178">
        <f>'PMA HID'!H170</f>
        <v>19.920000000000002</v>
      </c>
      <c r="H187" s="44">
        <f t="shared" si="32"/>
        <v>25.47</v>
      </c>
      <c r="I187" s="380">
        <f t="shared" si="33"/>
        <v>50.94</v>
      </c>
    </row>
    <row r="188" spans="2:12" ht="63.75" x14ac:dyDescent="0.25">
      <c r="B188" s="379" t="s">
        <v>578</v>
      </c>
      <c r="C188" s="48">
        <v>94693</v>
      </c>
      <c r="D188" s="24" t="s">
        <v>985</v>
      </c>
      <c r="E188" s="153" t="s">
        <v>309</v>
      </c>
      <c r="F188" s="207">
        <v>4</v>
      </c>
      <c r="G188" s="178">
        <v>24.96</v>
      </c>
      <c r="H188" s="44">
        <f t="shared" si="32"/>
        <v>31.91</v>
      </c>
      <c r="I188" s="380">
        <f t="shared" si="33"/>
        <v>127.64</v>
      </c>
    </row>
    <row r="189" spans="2:12" ht="63.75" x14ac:dyDescent="0.25">
      <c r="B189" s="379" t="s">
        <v>579</v>
      </c>
      <c r="C189" s="48">
        <v>94495</v>
      </c>
      <c r="D189" s="24" t="s">
        <v>441</v>
      </c>
      <c r="E189" s="153" t="s">
        <v>309</v>
      </c>
      <c r="F189" s="207">
        <v>40</v>
      </c>
      <c r="G189" s="178">
        <v>42.94</v>
      </c>
      <c r="H189" s="44">
        <f t="shared" si="32"/>
        <v>54.9</v>
      </c>
      <c r="I189" s="380">
        <f t="shared" si="33"/>
        <v>2196</v>
      </c>
    </row>
    <row r="190" spans="2:12" ht="63.75" x14ac:dyDescent="0.25">
      <c r="B190" s="379" t="s">
        <v>580</v>
      </c>
      <c r="C190" s="48">
        <v>94497</v>
      </c>
      <c r="D190" s="24" t="s">
        <v>442</v>
      </c>
      <c r="E190" s="153" t="s">
        <v>309</v>
      </c>
      <c r="F190" s="207">
        <v>2</v>
      </c>
      <c r="G190" s="178">
        <v>74.150000000000006</v>
      </c>
      <c r="H190" s="44">
        <f t="shared" si="32"/>
        <v>94.81</v>
      </c>
      <c r="I190" s="380">
        <f t="shared" si="33"/>
        <v>189.62</v>
      </c>
    </row>
    <row r="191" spans="2:12" ht="63.75" x14ac:dyDescent="0.25">
      <c r="B191" s="379" t="s">
        <v>1687</v>
      </c>
      <c r="C191" s="48">
        <v>94498</v>
      </c>
      <c r="D191" s="24" t="s">
        <v>443</v>
      </c>
      <c r="E191" s="153" t="s">
        <v>309</v>
      </c>
      <c r="F191" s="207">
        <v>2</v>
      </c>
      <c r="G191" s="178">
        <v>102.19</v>
      </c>
      <c r="H191" s="44">
        <f t="shared" si="32"/>
        <v>130.66</v>
      </c>
      <c r="I191" s="380">
        <f t="shared" si="33"/>
        <v>261.32</v>
      </c>
    </row>
    <row r="192" spans="2:12" ht="38.25" x14ac:dyDescent="0.25">
      <c r="B192" s="379" t="s">
        <v>668</v>
      </c>
      <c r="C192" s="48">
        <v>99622</v>
      </c>
      <c r="D192" s="24" t="s">
        <v>444</v>
      </c>
      <c r="E192" s="153" t="s">
        <v>309</v>
      </c>
      <c r="F192" s="207">
        <v>2</v>
      </c>
      <c r="G192" s="178">
        <v>205.99</v>
      </c>
      <c r="H192" s="44">
        <f t="shared" si="32"/>
        <v>263.38</v>
      </c>
      <c r="I192" s="380">
        <f t="shared" si="33"/>
        <v>526.76</v>
      </c>
      <c r="L192" s="186">
        <v>0.59722222222222199</v>
      </c>
    </row>
    <row r="193" spans="2:12" x14ac:dyDescent="0.25">
      <c r="B193" s="495" t="s">
        <v>1709</v>
      </c>
      <c r="C193" s="447"/>
      <c r="D193" s="447"/>
      <c r="E193" s="447"/>
      <c r="F193" s="447"/>
      <c r="G193" s="447"/>
      <c r="H193" s="447"/>
      <c r="I193" s="496"/>
    </row>
    <row r="194" spans="2:12" ht="51" x14ac:dyDescent="0.25">
      <c r="B194" s="379" t="s">
        <v>669</v>
      </c>
      <c r="C194" s="48">
        <v>89711</v>
      </c>
      <c r="D194" s="24" t="s">
        <v>1710</v>
      </c>
      <c r="E194" s="48" t="s">
        <v>248</v>
      </c>
      <c r="F194" s="207">
        <f>'MEMO CÁLCULO'!I194</f>
        <v>66</v>
      </c>
      <c r="G194" s="178">
        <v>19.88</v>
      </c>
      <c r="H194" s="44">
        <f t="shared" si="32"/>
        <v>25.42</v>
      </c>
      <c r="I194" s="380">
        <f t="shared" si="33"/>
        <v>1677.72</v>
      </c>
    </row>
    <row r="195" spans="2:12" ht="51" x14ac:dyDescent="0.25">
      <c r="B195" s="379" t="s">
        <v>700</v>
      </c>
      <c r="C195" s="48">
        <v>89712</v>
      </c>
      <c r="D195" s="24" t="s">
        <v>1711</v>
      </c>
      <c r="E195" s="48" t="s">
        <v>248</v>
      </c>
      <c r="F195" s="207">
        <f>'MEMO CÁLCULO'!I195</f>
        <v>106</v>
      </c>
      <c r="G195" s="178">
        <v>26.27</v>
      </c>
      <c r="H195" s="44">
        <f t="shared" si="32"/>
        <v>33.590000000000003</v>
      </c>
      <c r="I195" s="380">
        <f t="shared" si="33"/>
        <v>3560.54</v>
      </c>
    </row>
    <row r="196" spans="2:12" ht="51" x14ac:dyDescent="0.25">
      <c r="B196" s="379" t="s">
        <v>701</v>
      </c>
      <c r="C196" s="48">
        <v>89714</v>
      </c>
      <c r="D196" s="24" t="s">
        <v>1712</v>
      </c>
      <c r="E196" s="48" t="s">
        <v>248</v>
      </c>
      <c r="F196" s="207">
        <f>'MEMO CÁLCULO'!I196</f>
        <v>110</v>
      </c>
      <c r="G196" s="178">
        <v>36.549999999999997</v>
      </c>
      <c r="H196" s="44">
        <f t="shared" si="32"/>
        <v>46.73</v>
      </c>
      <c r="I196" s="380">
        <f t="shared" si="33"/>
        <v>5140.3</v>
      </c>
    </row>
    <row r="197" spans="2:12" ht="59.25" customHeight="1" x14ac:dyDescent="0.25">
      <c r="B197" s="379" t="s">
        <v>1688</v>
      </c>
      <c r="C197" s="48">
        <v>89724</v>
      </c>
      <c r="D197" s="24" t="s">
        <v>1713</v>
      </c>
      <c r="E197" s="48" t="s">
        <v>309</v>
      </c>
      <c r="F197" s="207">
        <f>'MEMO CÁLCULO'!I197</f>
        <v>50</v>
      </c>
      <c r="G197" s="178">
        <v>9.6</v>
      </c>
      <c r="H197" s="44">
        <f t="shared" si="32"/>
        <v>12.27</v>
      </c>
      <c r="I197" s="380">
        <f t="shared" si="33"/>
        <v>613.5</v>
      </c>
    </row>
    <row r="198" spans="2:12" ht="51" x14ac:dyDescent="0.25">
      <c r="B198" s="379" t="s">
        <v>1689</v>
      </c>
      <c r="C198" s="48">
        <v>89731</v>
      </c>
      <c r="D198" s="24" t="s">
        <v>1714</v>
      </c>
      <c r="E198" s="153" t="s">
        <v>309</v>
      </c>
      <c r="F198" s="207">
        <f>'MEMO CÁLCULO'!I198</f>
        <v>56</v>
      </c>
      <c r="G198" s="178">
        <v>15.22</v>
      </c>
      <c r="H198" s="44">
        <f t="shared" si="32"/>
        <v>19.46</v>
      </c>
      <c r="I198" s="380">
        <f t="shared" si="33"/>
        <v>1089.76</v>
      </c>
      <c r="L198" s="186">
        <v>0.6</v>
      </c>
    </row>
    <row r="199" spans="2:12" ht="51" x14ac:dyDescent="0.25">
      <c r="B199" s="379" t="s">
        <v>1690</v>
      </c>
      <c r="C199" s="48">
        <v>89748</v>
      </c>
      <c r="D199" s="24" t="s">
        <v>1715</v>
      </c>
      <c r="E199" s="153" t="s">
        <v>309</v>
      </c>
      <c r="F199" s="207">
        <f>'MEMO CÁLCULO'!I199</f>
        <v>12</v>
      </c>
      <c r="G199" s="178">
        <v>47.3</v>
      </c>
      <c r="H199" s="44">
        <f t="shared" si="32"/>
        <v>60.48</v>
      </c>
      <c r="I199" s="380">
        <f t="shared" si="33"/>
        <v>725.76</v>
      </c>
      <c r="L199" s="186">
        <v>0.62152777777777801</v>
      </c>
    </row>
    <row r="200" spans="2:12" ht="51" x14ac:dyDescent="0.25">
      <c r="B200" s="379" t="s">
        <v>1691</v>
      </c>
      <c r="C200" s="48">
        <v>89726</v>
      </c>
      <c r="D200" s="24" t="s">
        <v>1716</v>
      </c>
      <c r="E200" s="153" t="s">
        <v>309</v>
      </c>
      <c r="F200" s="207">
        <f>'MEMO CÁLCULO'!I200</f>
        <v>25</v>
      </c>
      <c r="G200" s="178">
        <v>9.8800000000000008</v>
      </c>
      <c r="H200" s="44">
        <f t="shared" si="32"/>
        <v>12.63</v>
      </c>
      <c r="I200" s="380">
        <f t="shared" si="33"/>
        <v>315.75</v>
      </c>
    </row>
    <row r="201" spans="2:12" ht="51" x14ac:dyDescent="0.25">
      <c r="B201" s="379" t="s">
        <v>1692</v>
      </c>
      <c r="C201" s="48">
        <v>89732</v>
      </c>
      <c r="D201" s="24" t="s">
        <v>1717</v>
      </c>
      <c r="E201" s="153" t="s">
        <v>309</v>
      </c>
      <c r="F201" s="207">
        <f>'MEMO CÁLCULO'!I201</f>
        <v>25</v>
      </c>
      <c r="G201" s="178">
        <v>16.09</v>
      </c>
      <c r="H201" s="44">
        <f t="shared" si="32"/>
        <v>20.57</v>
      </c>
      <c r="I201" s="380">
        <f t="shared" si="33"/>
        <v>514.25</v>
      </c>
    </row>
    <row r="202" spans="2:12" ht="51" x14ac:dyDescent="0.25">
      <c r="B202" s="379" t="s">
        <v>1693</v>
      </c>
      <c r="C202" s="48">
        <v>89746</v>
      </c>
      <c r="D202" s="24" t="s">
        <v>1718</v>
      </c>
      <c r="E202" s="153" t="s">
        <v>309</v>
      </c>
      <c r="F202" s="207">
        <f>'MEMO CÁLCULO'!I202</f>
        <v>10</v>
      </c>
      <c r="G202" s="178">
        <v>30.23</v>
      </c>
      <c r="H202" s="44">
        <f t="shared" si="32"/>
        <v>38.65</v>
      </c>
      <c r="I202" s="380">
        <f t="shared" si="33"/>
        <v>386.5</v>
      </c>
    </row>
    <row r="203" spans="2:12" ht="51" x14ac:dyDescent="0.25">
      <c r="B203" s="379" t="s">
        <v>1694</v>
      </c>
      <c r="C203" s="48">
        <v>89784</v>
      </c>
      <c r="D203" s="24" t="s">
        <v>1719</v>
      </c>
      <c r="E203" s="153" t="s">
        <v>309</v>
      </c>
      <c r="F203" s="207">
        <f>'MEMO CÁLCULO'!I203</f>
        <v>26</v>
      </c>
      <c r="G203" s="178">
        <v>25.44</v>
      </c>
      <c r="H203" s="44">
        <f t="shared" si="32"/>
        <v>32.53</v>
      </c>
      <c r="I203" s="380">
        <f t="shared" si="33"/>
        <v>845.78</v>
      </c>
    </row>
    <row r="204" spans="2:12" ht="51" x14ac:dyDescent="0.25">
      <c r="B204" s="379" t="s">
        <v>1695</v>
      </c>
      <c r="C204" s="48">
        <v>89796</v>
      </c>
      <c r="D204" s="24" t="s">
        <v>1720</v>
      </c>
      <c r="E204" s="153" t="s">
        <v>309</v>
      </c>
      <c r="F204" s="207">
        <f>'MEMO CÁLCULO'!I204</f>
        <v>8</v>
      </c>
      <c r="G204" s="178">
        <v>46.83</v>
      </c>
      <c r="H204" s="44">
        <f t="shared" si="32"/>
        <v>59.88</v>
      </c>
      <c r="I204" s="380">
        <f t="shared" si="33"/>
        <v>479.04</v>
      </c>
    </row>
    <row r="205" spans="2:12" ht="51" x14ac:dyDescent="0.25">
      <c r="B205" s="379" t="s">
        <v>1696</v>
      </c>
      <c r="C205" s="48" t="str">
        <f>'PMA HID'!B180</f>
        <v>PMA HID 021</v>
      </c>
      <c r="D205" s="24" t="str">
        <f>'PMA HID'!C180</f>
        <v>JUNÇÃO SIMPLES, PVC, SERIE NORMAL, ESGOTO PREDIAL, DN 100 X 50 MM, JUNTA ELÁSTICA, FORNECIDO E INSTALADO EM PRUMADA DE ESGOTO SANITÁRIO OU VENTILAÇÃO. AF_12/2014</v>
      </c>
      <c r="E205" s="153" t="s">
        <v>309</v>
      </c>
      <c r="F205" s="207">
        <f>'MEMO CÁLCULO'!I205</f>
        <v>15</v>
      </c>
      <c r="G205" s="178">
        <f>'PMA HID'!H188</f>
        <v>36.43</v>
      </c>
      <c r="H205" s="44">
        <f t="shared" si="32"/>
        <v>46.58</v>
      </c>
      <c r="I205" s="380">
        <f t="shared" si="33"/>
        <v>698.7</v>
      </c>
      <c r="K205" s="94"/>
    </row>
    <row r="206" spans="2:12" ht="51" x14ac:dyDescent="0.25">
      <c r="B206" s="379" t="s">
        <v>1697</v>
      </c>
      <c r="C206" s="48">
        <v>89797</v>
      </c>
      <c r="D206" s="24" t="s">
        <v>1722</v>
      </c>
      <c r="E206" s="153" t="s">
        <v>309</v>
      </c>
      <c r="F206" s="207">
        <f>'MEMO CÁLCULO'!I206</f>
        <v>8</v>
      </c>
      <c r="G206" s="178">
        <v>56.49</v>
      </c>
      <c r="H206" s="44">
        <f t="shared" si="32"/>
        <v>72.23</v>
      </c>
      <c r="I206" s="380">
        <f t="shared" si="33"/>
        <v>577.84</v>
      </c>
    </row>
    <row r="207" spans="2:12" ht="51" x14ac:dyDescent="0.25">
      <c r="B207" s="379" t="s">
        <v>1698</v>
      </c>
      <c r="C207" s="48">
        <v>89785</v>
      </c>
      <c r="D207" s="24" t="s">
        <v>1723</v>
      </c>
      <c r="E207" s="153" t="s">
        <v>309</v>
      </c>
      <c r="F207" s="207">
        <f>'MEMO CÁLCULO'!I207</f>
        <v>6</v>
      </c>
      <c r="G207" s="178">
        <v>28.26</v>
      </c>
      <c r="H207" s="44">
        <f t="shared" si="32"/>
        <v>36.130000000000003</v>
      </c>
      <c r="I207" s="380">
        <f t="shared" si="33"/>
        <v>216.78</v>
      </c>
    </row>
    <row r="208" spans="2:12" ht="51" x14ac:dyDescent="0.25">
      <c r="B208" s="379" t="s">
        <v>1699</v>
      </c>
      <c r="C208" s="48">
        <v>89783</v>
      </c>
      <c r="D208" s="24" t="s">
        <v>1724</v>
      </c>
      <c r="E208" s="153" t="s">
        <v>309</v>
      </c>
      <c r="F208" s="207">
        <f>'MEMO CÁLCULO'!I208</f>
        <v>4</v>
      </c>
      <c r="G208" s="178">
        <v>14.31</v>
      </c>
      <c r="H208" s="44">
        <f t="shared" si="32"/>
        <v>18.3</v>
      </c>
      <c r="I208" s="380">
        <f t="shared" si="33"/>
        <v>73.2</v>
      </c>
    </row>
    <row r="209" spans="2:9" ht="51" x14ac:dyDescent="0.25">
      <c r="B209" s="379" t="s">
        <v>1700</v>
      </c>
      <c r="C209" s="48" t="str">
        <f>'PMA HID'!B190</f>
        <v>PMA HID 022</v>
      </c>
      <c r="D209" s="24" t="str">
        <f>'PMA HID'!C190</f>
        <v>REDUÇÃO EXCÊNTRICA, PVC, SERIE R, ÁGUA PLUVIAL, DN 100 X 50 MM, JUNTA ELÁSTICA, FORNECIDO E INSTALADO EM CONDUTORES VERTICAIS DE ÁGUAS PLUVIAIS. AF_06/2022</v>
      </c>
      <c r="E209" s="153" t="s">
        <v>309</v>
      </c>
      <c r="F209" s="207">
        <f>'MEMO CÁLCULO'!I209</f>
        <v>4</v>
      </c>
      <c r="G209" s="178">
        <f>'PMA HID'!H199</f>
        <v>31.35</v>
      </c>
      <c r="H209" s="44">
        <f t="shared" si="32"/>
        <v>40.08</v>
      </c>
      <c r="I209" s="380">
        <f t="shared" si="33"/>
        <v>160.32</v>
      </c>
    </row>
    <row r="210" spans="2:9" ht="51" x14ac:dyDescent="0.25">
      <c r="B210" s="379" t="s">
        <v>1701</v>
      </c>
      <c r="C210" s="48">
        <v>89707</v>
      </c>
      <c r="D210" s="24" t="s">
        <v>1726</v>
      </c>
      <c r="E210" s="153" t="s">
        <v>309</v>
      </c>
      <c r="F210" s="207">
        <f>'MEMO CÁLCULO'!I210</f>
        <v>15</v>
      </c>
      <c r="G210" s="178">
        <v>49.85</v>
      </c>
      <c r="H210" s="44">
        <f t="shared" si="32"/>
        <v>63.74</v>
      </c>
      <c r="I210" s="380">
        <f t="shared" si="33"/>
        <v>956.1</v>
      </c>
    </row>
    <row r="211" spans="2:9" ht="38.25" x14ac:dyDescent="0.25">
      <c r="B211" s="379" t="s">
        <v>1702</v>
      </c>
      <c r="C211" s="48">
        <v>89710</v>
      </c>
      <c r="D211" s="24" t="s">
        <v>1727</v>
      </c>
      <c r="E211" s="153" t="s">
        <v>309</v>
      </c>
      <c r="F211" s="207">
        <f>'MEMO CÁLCULO'!I211</f>
        <v>1</v>
      </c>
      <c r="G211" s="178">
        <v>18.670000000000002</v>
      </c>
      <c r="H211" s="44">
        <f t="shared" si="32"/>
        <v>23.87</v>
      </c>
      <c r="I211" s="380">
        <f t="shared" si="33"/>
        <v>23.87</v>
      </c>
    </row>
    <row r="212" spans="2:9" ht="25.5" x14ac:dyDescent="0.25">
      <c r="B212" s="379" t="s">
        <v>1703</v>
      </c>
      <c r="C212" s="48">
        <v>39319</v>
      </c>
      <c r="D212" s="24" t="s">
        <v>1729</v>
      </c>
      <c r="E212" s="153" t="s">
        <v>309</v>
      </c>
      <c r="F212" s="207">
        <f>'MEMO CÁLCULO'!I212</f>
        <v>9</v>
      </c>
      <c r="G212" s="178">
        <v>10.99</v>
      </c>
      <c r="H212" s="44">
        <f t="shared" si="32"/>
        <v>14.05</v>
      </c>
      <c r="I212" s="380">
        <f t="shared" si="33"/>
        <v>126.45</v>
      </c>
    </row>
    <row r="213" spans="2:9" ht="38.25" x14ac:dyDescent="0.25">
      <c r="B213" s="379" t="s">
        <v>1704</v>
      </c>
      <c r="C213" s="48">
        <v>98110</v>
      </c>
      <c r="D213" s="295" t="s">
        <v>1728</v>
      </c>
      <c r="E213" s="153" t="s">
        <v>309</v>
      </c>
      <c r="F213" s="207">
        <f>'MEMO CÁLCULO'!I213</f>
        <v>1</v>
      </c>
      <c r="G213" s="178">
        <v>456.59</v>
      </c>
      <c r="H213" s="44">
        <f t="shared" si="32"/>
        <v>583.79999999999995</v>
      </c>
      <c r="I213" s="380">
        <f t="shared" si="33"/>
        <v>583.79999999999995</v>
      </c>
    </row>
    <row r="214" spans="2:9" ht="51" x14ac:dyDescent="0.25">
      <c r="B214" s="379" t="s">
        <v>1705</v>
      </c>
      <c r="C214" s="48">
        <v>97902</v>
      </c>
      <c r="D214" s="295" t="s">
        <v>1745</v>
      </c>
      <c r="E214" s="153" t="s">
        <v>309</v>
      </c>
      <c r="F214" s="207">
        <v>8</v>
      </c>
      <c r="G214" s="178">
        <v>564.53</v>
      </c>
      <c r="H214" s="44">
        <f t="shared" si="32"/>
        <v>721.81</v>
      </c>
      <c r="I214" s="380">
        <f t="shared" si="33"/>
        <v>5774.48</v>
      </c>
    </row>
    <row r="215" spans="2:9" ht="51" x14ac:dyDescent="0.25">
      <c r="B215" s="379" t="s">
        <v>1706</v>
      </c>
      <c r="C215" s="48">
        <v>97903</v>
      </c>
      <c r="D215" s="295" t="s">
        <v>1744</v>
      </c>
      <c r="E215" s="153" t="s">
        <v>309</v>
      </c>
      <c r="F215" s="207">
        <v>2</v>
      </c>
      <c r="G215" s="178">
        <v>783.17</v>
      </c>
      <c r="H215" s="44">
        <f t="shared" si="32"/>
        <v>1001.36</v>
      </c>
      <c r="I215" s="380">
        <f t="shared" si="33"/>
        <v>2002.72</v>
      </c>
    </row>
    <row r="216" spans="2:9" x14ac:dyDescent="0.25">
      <c r="B216" s="495" t="s">
        <v>1686</v>
      </c>
      <c r="C216" s="447"/>
      <c r="D216" s="447"/>
      <c r="E216" s="447"/>
      <c r="F216" s="447"/>
      <c r="G216" s="447"/>
      <c r="H216" s="447"/>
      <c r="I216" s="496"/>
    </row>
    <row r="217" spans="2:9" ht="38.25" x14ac:dyDescent="0.25">
      <c r="B217" s="379" t="s">
        <v>1707</v>
      </c>
      <c r="C217" s="48">
        <v>89512</v>
      </c>
      <c r="D217" s="24" t="s">
        <v>1731</v>
      </c>
      <c r="E217" s="48" t="s">
        <v>248</v>
      </c>
      <c r="F217" s="207">
        <f>'MEMO CÁLCULO'!I217</f>
        <v>12</v>
      </c>
      <c r="G217" s="178">
        <v>50.95</v>
      </c>
      <c r="H217" s="44">
        <f t="shared" si="32"/>
        <v>65.14</v>
      </c>
      <c r="I217" s="380">
        <f t="shared" si="33"/>
        <v>781.68</v>
      </c>
    </row>
    <row r="218" spans="2:9" ht="38.25" x14ac:dyDescent="0.25">
      <c r="B218" s="379" t="s">
        <v>1730</v>
      </c>
      <c r="C218" s="48">
        <v>104166</v>
      </c>
      <c r="D218" s="24" t="s">
        <v>1732</v>
      </c>
      <c r="E218" s="48" t="s">
        <v>248</v>
      </c>
      <c r="F218" s="207">
        <f>'MEMO CÁLCULO'!I218</f>
        <v>26</v>
      </c>
      <c r="G218" s="178">
        <v>83.95</v>
      </c>
      <c r="H218" s="44">
        <f t="shared" si="32"/>
        <v>107.34</v>
      </c>
      <c r="I218" s="380">
        <f t="shared" si="33"/>
        <v>2790.84</v>
      </c>
    </row>
    <row r="219" spans="2:9" ht="38.25" x14ac:dyDescent="0.25">
      <c r="B219" s="379" t="s">
        <v>1734</v>
      </c>
      <c r="C219" s="48">
        <v>90696</v>
      </c>
      <c r="D219" s="24" t="s">
        <v>1733</v>
      </c>
      <c r="E219" s="48" t="s">
        <v>248</v>
      </c>
      <c r="F219" s="207">
        <f>'MEMO CÁLCULO'!I219</f>
        <v>36</v>
      </c>
      <c r="G219" s="178">
        <v>173.26</v>
      </c>
      <c r="H219" s="44">
        <f t="shared" si="32"/>
        <v>221.53</v>
      </c>
      <c r="I219" s="380">
        <f t="shared" si="33"/>
        <v>7975.08</v>
      </c>
    </row>
    <row r="220" spans="2:9" ht="51" x14ac:dyDescent="0.25">
      <c r="B220" s="379" t="s">
        <v>1739</v>
      </c>
      <c r="C220" s="48">
        <v>89584</v>
      </c>
      <c r="D220" s="24" t="s">
        <v>1737</v>
      </c>
      <c r="E220" s="48" t="s">
        <v>309</v>
      </c>
      <c r="F220" s="207">
        <f>'MEMO CÁLCULO'!I220</f>
        <v>6</v>
      </c>
      <c r="G220" s="178">
        <v>47.14</v>
      </c>
      <c r="H220" s="44">
        <f t="shared" si="32"/>
        <v>60.27</v>
      </c>
      <c r="I220" s="380">
        <f t="shared" si="33"/>
        <v>361.62</v>
      </c>
    </row>
    <row r="221" spans="2:9" ht="51" x14ac:dyDescent="0.25">
      <c r="B221" s="379" t="s">
        <v>1740</v>
      </c>
      <c r="C221" s="48">
        <v>89591</v>
      </c>
      <c r="D221" s="24" t="s">
        <v>1736</v>
      </c>
      <c r="E221" s="153" t="s">
        <v>309</v>
      </c>
      <c r="F221" s="207">
        <f>'MEMO CÁLCULO'!I221</f>
        <v>2</v>
      </c>
      <c r="G221" s="178">
        <v>145.65</v>
      </c>
      <c r="H221" s="44">
        <f t="shared" si="32"/>
        <v>186.23</v>
      </c>
      <c r="I221" s="380">
        <f t="shared" si="33"/>
        <v>372.46</v>
      </c>
    </row>
    <row r="222" spans="2:9" ht="38.25" x14ac:dyDescent="0.25">
      <c r="B222" s="379" t="s">
        <v>1742</v>
      </c>
      <c r="C222" s="48">
        <v>104176</v>
      </c>
      <c r="D222" s="24" t="s">
        <v>1738</v>
      </c>
      <c r="E222" s="153" t="s">
        <v>309</v>
      </c>
      <c r="F222" s="207">
        <f>'MEMO CÁLCULO'!I222</f>
        <v>6</v>
      </c>
      <c r="G222" s="178">
        <v>290.8</v>
      </c>
      <c r="H222" s="44">
        <f t="shared" si="32"/>
        <v>371.82</v>
      </c>
      <c r="I222" s="380">
        <f t="shared" si="33"/>
        <v>2230.92</v>
      </c>
    </row>
    <row r="223" spans="2:9" s="146" customFormat="1" ht="22.5" customHeight="1" x14ac:dyDescent="0.25">
      <c r="B223" s="379" t="s">
        <v>1747</v>
      </c>
      <c r="C223" s="48">
        <v>11708</v>
      </c>
      <c r="D223" s="24" t="s">
        <v>1735</v>
      </c>
      <c r="E223" s="153" t="s">
        <v>309</v>
      </c>
      <c r="F223" s="207">
        <f>'MEMO CÁLCULO'!I223</f>
        <v>6</v>
      </c>
      <c r="G223" s="178">
        <v>24.51</v>
      </c>
      <c r="H223" s="44">
        <f t="shared" si="32"/>
        <v>31.34</v>
      </c>
      <c r="I223" s="380">
        <f t="shared" si="33"/>
        <v>188.04</v>
      </c>
    </row>
    <row r="224" spans="2:9" s="146" customFormat="1" ht="51" x14ac:dyDescent="0.25">
      <c r="B224" s="379" t="s">
        <v>1748</v>
      </c>
      <c r="C224" s="48">
        <v>99253</v>
      </c>
      <c r="D224" s="24" t="s">
        <v>1743</v>
      </c>
      <c r="E224" s="153" t="s">
        <v>309</v>
      </c>
      <c r="F224" s="207">
        <v>4</v>
      </c>
      <c r="G224" s="178">
        <v>543.95000000000005</v>
      </c>
      <c r="H224" s="44">
        <f t="shared" si="32"/>
        <v>695.49</v>
      </c>
      <c r="I224" s="380">
        <f t="shared" si="33"/>
        <v>2781.96</v>
      </c>
    </row>
    <row r="225" spans="2:9" x14ac:dyDescent="0.25">
      <c r="B225" s="481" t="s">
        <v>1660</v>
      </c>
      <c r="C225" s="482"/>
      <c r="D225" s="482"/>
      <c r="E225" s="482"/>
      <c r="F225" s="482"/>
      <c r="G225" s="482"/>
      <c r="H225" s="482"/>
      <c r="I225" s="381">
        <f>SUM(I171:I224)</f>
        <v>79270.45</v>
      </c>
    </row>
    <row r="226" spans="2:9" x14ac:dyDescent="0.25">
      <c r="B226" s="378" t="s">
        <v>70</v>
      </c>
      <c r="C226" s="339"/>
      <c r="D226" s="450" t="s">
        <v>268</v>
      </c>
      <c r="E226" s="450"/>
      <c r="F226" s="450"/>
      <c r="G226" s="450"/>
      <c r="H226" s="450"/>
      <c r="I226" s="494"/>
    </row>
    <row r="227" spans="2:9" s="146" customFormat="1" ht="25.5" x14ac:dyDescent="0.25">
      <c r="B227" s="379" t="s">
        <v>217</v>
      </c>
      <c r="C227" s="48" t="str">
        <f>'PMA ELE'!B9</f>
        <v>PMA ELE 001</v>
      </c>
      <c r="D227" s="24" t="s">
        <v>462</v>
      </c>
      <c r="E227" s="48" t="s">
        <v>309</v>
      </c>
      <c r="F227" s="207">
        <v>1</v>
      </c>
      <c r="G227" s="229">
        <f>'PMA ELE'!H17</f>
        <v>165.15</v>
      </c>
      <c r="H227" s="230">
        <f t="shared" ref="H227:H293" si="34">G227*($F$6+1)</f>
        <v>211.16</v>
      </c>
      <c r="I227" s="380">
        <f t="shared" ref="I227:I294" si="35">F227*H227</f>
        <v>211.16</v>
      </c>
    </row>
    <row r="228" spans="2:9" s="146" customFormat="1" ht="38.25" x14ac:dyDescent="0.25">
      <c r="B228" s="379" t="s">
        <v>218</v>
      </c>
      <c r="C228" s="48">
        <v>95801</v>
      </c>
      <c r="D228" s="337" t="s">
        <v>464</v>
      </c>
      <c r="E228" s="48" t="s">
        <v>309</v>
      </c>
      <c r="F228" s="310">
        <v>183</v>
      </c>
      <c r="G228" s="229">
        <v>34.299999999999997</v>
      </c>
      <c r="H228" s="230">
        <f t="shared" si="34"/>
        <v>43.86</v>
      </c>
      <c r="I228" s="380">
        <f t="shared" si="35"/>
        <v>8026.38</v>
      </c>
    </row>
    <row r="229" spans="2:9" s="146" customFormat="1" ht="51" x14ac:dyDescent="0.25">
      <c r="B229" s="379" t="s">
        <v>219</v>
      </c>
      <c r="C229" s="48" t="str">
        <f>'PMA ELE'!B19</f>
        <v>PMA ELE 002</v>
      </c>
      <c r="D229" s="337" t="s">
        <v>978</v>
      </c>
      <c r="E229" s="48" t="s">
        <v>309</v>
      </c>
      <c r="F229" s="310">
        <v>400</v>
      </c>
      <c r="G229" s="229">
        <f>'PMA ELE'!H24</f>
        <v>6.59</v>
      </c>
      <c r="H229" s="230">
        <f t="shared" si="34"/>
        <v>8.43</v>
      </c>
      <c r="I229" s="380">
        <f>F229*H229</f>
        <v>3372</v>
      </c>
    </row>
    <row r="230" spans="2:9" ht="25.5" x14ac:dyDescent="0.25">
      <c r="B230" s="379" t="s">
        <v>220</v>
      </c>
      <c r="C230" s="48" t="str">
        <f>'PMA ELE'!B26</f>
        <v>PMA ELE 003</v>
      </c>
      <c r="D230" s="337" t="s">
        <v>467</v>
      </c>
      <c r="E230" s="48" t="s">
        <v>309</v>
      </c>
      <c r="F230" s="310">
        <v>1</v>
      </c>
      <c r="G230" s="229">
        <f>'PMA ELE'!H31</f>
        <v>101.33</v>
      </c>
      <c r="H230" s="230">
        <f t="shared" si="34"/>
        <v>129.56</v>
      </c>
      <c r="I230" s="380">
        <f t="shared" si="35"/>
        <v>129.56</v>
      </c>
    </row>
    <row r="231" spans="2:9" ht="33.75" customHeight="1" x14ac:dyDescent="0.25">
      <c r="B231" s="379" t="s">
        <v>298</v>
      </c>
      <c r="C231" s="48" t="str">
        <f>'PMA ELE'!B33</f>
        <v>PMA ELE 004</v>
      </c>
      <c r="D231" s="346" t="s">
        <v>976</v>
      </c>
      <c r="E231" s="48" t="s">
        <v>309</v>
      </c>
      <c r="F231" s="311">
        <v>400</v>
      </c>
      <c r="G231" s="229">
        <f>'PMA ELE'!H38</f>
        <v>5.56</v>
      </c>
      <c r="H231" s="230">
        <f t="shared" si="34"/>
        <v>7.11</v>
      </c>
      <c r="I231" s="380">
        <f t="shared" si="35"/>
        <v>2844</v>
      </c>
    </row>
    <row r="232" spans="2:9" ht="38.25" x14ac:dyDescent="0.25">
      <c r="B232" s="379" t="s">
        <v>299</v>
      </c>
      <c r="C232" s="48">
        <v>91953</v>
      </c>
      <c r="D232" s="346" t="s">
        <v>475</v>
      </c>
      <c r="E232" s="48" t="s">
        <v>309</v>
      </c>
      <c r="F232" s="311">
        <v>32</v>
      </c>
      <c r="G232" s="229">
        <v>22.95</v>
      </c>
      <c r="H232" s="230">
        <f t="shared" si="34"/>
        <v>29.34</v>
      </c>
      <c r="I232" s="380">
        <f t="shared" si="35"/>
        <v>938.88</v>
      </c>
    </row>
    <row r="233" spans="2:9" ht="38.25" x14ac:dyDescent="0.25">
      <c r="B233" s="379" t="s">
        <v>300</v>
      </c>
      <c r="C233" s="48">
        <v>91955</v>
      </c>
      <c r="D233" s="346" t="s">
        <v>474</v>
      </c>
      <c r="E233" s="48" t="s">
        <v>309</v>
      </c>
      <c r="F233" s="311">
        <v>15</v>
      </c>
      <c r="G233" s="229">
        <v>28.38</v>
      </c>
      <c r="H233" s="230">
        <f t="shared" si="34"/>
        <v>36.29</v>
      </c>
      <c r="I233" s="380">
        <f t="shared" si="35"/>
        <v>544.35</v>
      </c>
    </row>
    <row r="234" spans="2:9" ht="38.25" x14ac:dyDescent="0.25">
      <c r="B234" s="379" t="s">
        <v>301</v>
      </c>
      <c r="C234" s="48">
        <v>91961</v>
      </c>
      <c r="D234" s="346" t="s">
        <v>1648</v>
      </c>
      <c r="E234" s="48" t="s">
        <v>309</v>
      </c>
      <c r="F234" s="311">
        <v>1</v>
      </c>
      <c r="G234" s="229">
        <v>47.19</v>
      </c>
      <c r="H234" s="230">
        <f t="shared" si="34"/>
        <v>60.34</v>
      </c>
      <c r="I234" s="380">
        <f t="shared" si="35"/>
        <v>60.34</v>
      </c>
    </row>
    <row r="235" spans="2:9" ht="38.25" x14ac:dyDescent="0.25">
      <c r="B235" s="379" t="s">
        <v>302</v>
      </c>
      <c r="C235" s="48">
        <v>92000</v>
      </c>
      <c r="D235" s="346" t="s">
        <v>469</v>
      </c>
      <c r="E235" s="48" t="s">
        <v>309</v>
      </c>
      <c r="F235" s="310">
        <v>20</v>
      </c>
      <c r="G235" s="229">
        <v>24.27</v>
      </c>
      <c r="H235" s="230">
        <f t="shared" si="34"/>
        <v>31.03</v>
      </c>
      <c r="I235" s="380">
        <f t="shared" si="35"/>
        <v>620.6</v>
      </c>
    </row>
    <row r="236" spans="2:9" ht="38.25" x14ac:dyDescent="0.25">
      <c r="B236" s="379" t="s">
        <v>303</v>
      </c>
      <c r="C236" s="48">
        <v>91996</v>
      </c>
      <c r="D236" s="346" t="s">
        <v>473</v>
      </c>
      <c r="E236" s="48" t="s">
        <v>309</v>
      </c>
      <c r="F236" s="310">
        <v>15</v>
      </c>
      <c r="G236" s="229">
        <v>27.3</v>
      </c>
      <c r="H236" s="230">
        <f t="shared" si="34"/>
        <v>34.909999999999997</v>
      </c>
      <c r="I236" s="380">
        <f t="shared" si="35"/>
        <v>523.65</v>
      </c>
    </row>
    <row r="237" spans="2:9" ht="38.25" x14ac:dyDescent="0.25">
      <c r="B237" s="379" t="s">
        <v>420</v>
      </c>
      <c r="C237" s="48">
        <v>92008</v>
      </c>
      <c r="D237" s="346" t="s">
        <v>472</v>
      </c>
      <c r="E237" s="48" t="s">
        <v>309</v>
      </c>
      <c r="F237" s="310">
        <v>5</v>
      </c>
      <c r="G237" s="229">
        <v>38.979999999999997</v>
      </c>
      <c r="H237" s="230">
        <f t="shared" si="34"/>
        <v>49.84</v>
      </c>
      <c r="I237" s="380">
        <f t="shared" si="35"/>
        <v>249.2</v>
      </c>
    </row>
    <row r="238" spans="2:9" ht="38.25" x14ac:dyDescent="0.25">
      <c r="B238" s="379" t="s">
        <v>421</v>
      </c>
      <c r="C238" s="48">
        <v>92004</v>
      </c>
      <c r="D238" s="346" t="s">
        <v>1619</v>
      </c>
      <c r="E238" s="48" t="s">
        <v>309</v>
      </c>
      <c r="F238" s="310">
        <v>18</v>
      </c>
      <c r="G238" s="229">
        <v>45.03</v>
      </c>
      <c r="H238" s="230">
        <f t="shared" si="34"/>
        <v>57.58</v>
      </c>
      <c r="I238" s="380">
        <f t="shared" si="35"/>
        <v>1036.44</v>
      </c>
    </row>
    <row r="239" spans="2:9" ht="38.25" x14ac:dyDescent="0.25">
      <c r="B239" s="379" t="s">
        <v>422</v>
      </c>
      <c r="C239" s="48">
        <v>92001</v>
      </c>
      <c r="D239" s="346" t="s">
        <v>470</v>
      </c>
      <c r="E239" s="48" t="s">
        <v>309</v>
      </c>
      <c r="F239" s="310">
        <v>7</v>
      </c>
      <c r="G239" s="229">
        <v>26.36</v>
      </c>
      <c r="H239" s="230">
        <f t="shared" si="34"/>
        <v>33.700000000000003</v>
      </c>
      <c r="I239" s="380">
        <f t="shared" si="35"/>
        <v>235.9</v>
      </c>
    </row>
    <row r="240" spans="2:9" ht="38.25" x14ac:dyDescent="0.25">
      <c r="B240" s="379" t="s">
        <v>423</v>
      </c>
      <c r="C240" s="48">
        <v>92005</v>
      </c>
      <c r="D240" s="346" t="s">
        <v>1620</v>
      </c>
      <c r="E240" s="48" t="s">
        <v>309</v>
      </c>
      <c r="F240" s="311">
        <v>2</v>
      </c>
      <c r="G240" s="229">
        <v>49.21</v>
      </c>
      <c r="H240" s="230">
        <f t="shared" si="34"/>
        <v>62.92</v>
      </c>
      <c r="I240" s="380">
        <f t="shared" si="35"/>
        <v>125.84</v>
      </c>
    </row>
    <row r="241" spans="2:9" ht="38.25" x14ac:dyDescent="0.25">
      <c r="B241" s="379" t="s">
        <v>424</v>
      </c>
      <c r="C241" s="48">
        <v>91997</v>
      </c>
      <c r="D241" s="49" t="s">
        <v>471</v>
      </c>
      <c r="E241" s="48" t="s">
        <v>309</v>
      </c>
      <c r="F241" s="311">
        <v>15</v>
      </c>
      <c r="G241" s="229">
        <v>29.39</v>
      </c>
      <c r="H241" s="230">
        <f t="shared" si="34"/>
        <v>37.58</v>
      </c>
      <c r="I241" s="380">
        <f t="shared" si="35"/>
        <v>563.70000000000005</v>
      </c>
    </row>
    <row r="242" spans="2:9" ht="38.25" x14ac:dyDescent="0.25">
      <c r="B242" s="379" t="s">
        <v>425</v>
      </c>
      <c r="C242" s="48">
        <v>91993</v>
      </c>
      <c r="D242" s="49" t="s">
        <v>1627</v>
      </c>
      <c r="E242" s="48" t="s">
        <v>309</v>
      </c>
      <c r="F242" s="311">
        <v>25</v>
      </c>
      <c r="G242" s="229">
        <v>37.18</v>
      </c>
      <c r="H242" s="230">
        <f t="shared" si="34"/>
        <v>47.54</v>
      </c>
      <c r="I242" s="380">
        <f>F242*H242</f>
        <v>1188.5</v>
      </c>
    </row>
    <row r="243" spans="2:9" ht="38.25" x14ac:dyDescent="0.25">
      <c r="B243" s="384" t="s">
        <v>426</v>
      </c>
      <c r="C243" s="21">
        <v>91941</v>
      </c>
      <c r="D243" s="51" t="s">
        <v>1265</v>
      </c>
      <c r="E243" s="21" t="s">
        <v>309</v>
      </c>
      <c r="F243" s="310">
        <v>32</v>
      </c>
      <c r="G243" s="229">
        <v>9.2799999999999994</v>
      </c>
      <c r="H243" s="230">
        <f t="shared" si="34"/>
        <v>11.87</v>
      </c>
      <c r="I243" s="385">
        <f>F243*H243</f>
        <v>379.84</v>
      </c>
    </row>
    <row r="244" spans="2:9" ht="38.25" x14ac:dyDescent="0.25">
      <c r="B244" s="379" t="s">
        <v>581</v>
      </c>
      <c r="C244" s="48">
        <v>91940</v>
      </c>
      <c r="D244" s="49" t="s">
        <v>1266</v>
      </c>
      <c r="E244" s="48" t="s">
        <v>309</v>
      </c>
      <c r="F244" s="311">
        <v>98</v>
      </c>
      <c r="G244" s="229">
        <v>13.51</v>
      </c>
      <c r="H244" s="230">
        <f t="shared" si="34"/>
        <v>17.27</v>
      </c>
      <c r="I244" s="380">
        <f>F244*H244</f>
        <v>1692.46</v>
      </c>
    </row>
    <row r="245" spans="2:9" ht="25.5" x14ac:dyDescent="0.25">
      <c r="B245" s="379" t="s">
        <v>427</v>
      </c>
      <c r="C245" s="48">
        <v>90456</v>
      </c>
      <c r="D245" s="49" t="s">
        <v>1267</v>
      </c>
      <c r="E245" s="48" t="s">
        <v>309</v>
      </c>
      <c r="F245" s="311">
        <f>F244+F243</f>
        <v>130</v>
      </c>
      <c r="G245" s="229">
        <v>3.52</v>
      </c>
      <c r="H245" s="230">
        <f t="shared" si="34"/>
        <v>4.5</v>
      </c>
      <c r="I245" s="380">
        <f>F245*H245</f>
        <v>585</v>
      </c>
    </row>
    <row r="246" spans="2:9" ht="38.25" x14ac:dyDescent="0.25">
      <c r="B246" s="379" t="s">
        <v>582</v>
      </c>
      <c r="C246" s="48" t="str">
        <f>'PMA ELE'!B40</f>
        <v>PMA ELE 005</v>
      </c>
      <c r="D246" s="49" t="s">
        <v>1268</v>
      </c>
      <c r="E246" s="48" t="s">
        <v>248</v>
      </c>
      <c r="F246" s="311">
        <v>20</v>
      </c>
      <c r="G246" s="229">
        <f>'PMA ELE'!H47</f>
        <v>37.86</v>
      </c>
      <c r="H246" s="230">
        <f t="shared" si="34"/>
        <v>48.41</v>
      </c>
      <c r="I246" s="385">
        <f t="shared" si="35"/>
        <v>968.2</v>
      </c>
    </row>
    <row r="247" spans="2:9" ht="38.25" x14ac:dyDescent="0.25">
      <c r="B247" s="379" t="s">
        <v>583</v>
      </c>
      <c r="C247" s="48" t="str">
        <f>'PMA ELE'!B49</f>
        <v>PMA ELE 006</v>
      </c>
      <c r="D247" s="49" t="s">
        <v>1116</v>
      </c>
      <c r="E247" s="48" t="s">
        <v>248</v>
      </c>
      <c r="F247" s="311">
        <v>600</v>
      </c>
      <c r="G247" s="229">
        <f>'PMA ELE'!H55</f>
        <v>31.59</v>
      </c>
      <c r="H247" s="230">
        <f t="shared" si="34"/>
        <v>40.39</v>
      </c>
      <c r="I247" s="380">
        <f t="shared" si="35"/>
        <v>24234</v>
      </c>
    </row>
    <row r="248" spans="2:9" ht="38.25" x14ac:dyDescent="0.25">
      <c r="B248" s="379" t="s">
        <v>584</v>
      </c>
      <c r="C248" s="48" t="str">
        <f>'PMA ELE'!B57</f>
        <v>PMA ELE 007</v>
      </c>
      <c r="D248" s="49" t="s">
        <v>1125</v>
      </c>
      <c r="E248" s="48" t="s">
        <v>248</v>
      </c>
      <c r="F248" s="311">
        <v>40</v>
      </c>
      <c r="G248" s="229">
        <f>'PMA ELE'!H63</f>
        <v>48.46</v>
      </c>
      <c r="H248" s="230">
        <f t="shared" si="34"/>
        <v>61.96</v>
      </c>
      <c r="I248" s="380">
        <f t="shared" si="35"/>
        <v>2478.4</v>
      </c>
    </row>
    <row r="249" spans="2:9" ht="45" customHeight="1" x14ac:dyDescent="0.25">
      <c r="B249" s="379" t="s">
        <v>585</v>
      </c>
      <c r="C249" s="48" t="str">
        <f>'PMA ELE'!B65</f>
        <v>PMA ELE 008</v>
      </c>
      <c r="D249" s="49" t="s">
        <v>477</v>
      </c>
      <c r="E249" s="48" t="s">
        <v>248</v>
      </c>
      <c r="F249" s="311">
        <v>15</v>
      </c>
      <c r="G249" s="229">
        <f>'PMA ELE'!H72</f>
        <v>129.59</v>
      </c>
      <c r="H249" s="230">
        <f t="shared" si="34"/>
        <v>165.69</v>
      </c>
      <c r="I249" s="380">
        <f t="shared" si="35"/>
        <v>2485.35</v>
      </c>
    </row>
    <row r="250" spans="2:9" ht="25.5" x14ac:dyDescent="0.25">
      <c r="B250" s="379" t="s">
        <v>586</v>
      </c>
      <c r="C250" s="48" t="str">
        <f>'PMA ELE'!B74</f>
        <v>PMA ELE 009</v>
      </c>
      <c r="D250" s="50" t="s">
        <v>1008</v>
      </c>
      <c r="E250" s="48" t="s">
        <v>248</v>
      </c>
      <c r="F250" s="311">
        <v>50</v>
      </c>
      <c r="G250" s="229">
        <f>'PMA ELE'!H79</f>
        <v>48.56</v>
      </c>
      <c r="H250" s="230">
        <f t="shared" si="34"/>
        <v>62.09</v>
      </c>
      <c r="I250" s="380">
        <f t="shared" si="35"/>
        <v>3104.5</v>
      </c>
    </row>
    <row r="251" spans="2:9" ht="38.25" x14ac:dyDescent="0.25">
      <c r="B251" s="379" t="s">
        <v>587</v>
      </c>
      <c r="C251" s="48" t="str">
        <f>'PMA ELE'!B81</f>
        <v>PMA ELE 010</v>
      </c>
      <c r="D251" s="50" t="s">
        <v>1269</v>
      </c>
      <c r="E251" s="48" t="s">
        <v>248</v>
      </c>
      <c r="F251" s="311">
        <v>5</v>
      </c>
      <c r="G251" s="229">
        <f>'PMA ELE'!H86</f>
        <v>14.43</v>
      </c>
      <c r="H251" s="230">
        <f t="shared" si="34"/>
        <v>18.45</v>
      </c>
      <c r="I251" s="380">
        <f t="shared" si="35"/>
        <v>92.25</v>
      </c>
    </row>
    <row r="252" spans="2:9" ht="38.25" x14ac:dyDescent="0.25">
      <c r="B252" s="379" t="s">
        <v>588</v>
      </c>
      <c r="C252" s="21" t="str">
        <f>'PMA ELE'!B99</f>
        <v>PMA ELE 012</v>
      </c>
      <c r="D252" s="296" t="s">
        <v>1425</v>
      </c>
      <c r="E252" s="48" t="s">
        <v>248</v>
      </c>
      <c r="F252" s="311">
        <v>40</v>
      </c>
      <c r="G252" s="229">
        <f>'PMA ELE'!H106</f>
        <v>84.94</v>
      </c>
      <c r="H252" s="230">
        <f t="shared" si="34"/>
        <v>108.6</v>
      </c>
      <c r="I252" s="380">
        <f t="shared" si="35"/>
        <v>4344</v>
      </c>
    </row>
    <row r="253" spans="2:9" ht="38.25" x14ac:dyDescent="0.25">
      <c r="B253" s="379" t="s">
        <v>589</v>
      </c>
      <c r="C253" s="21" t="str">
        <f>'PMA ELE'!B119</f>
        <v>PMA ELE 014</v>
      </c>
      <c r="D253" s="295" t="s">
        <v>1270</v>
      </c>
      <c r="E253" s="48" t="s">
        <v>248</v>
      </c>
      <c r="F253" s="311">
        <v>35</v>
      </c>
      <c r="G253" s="229">
        <f>'PMA ELE'!H126</f>
        <v>133.38</v>
      </c>
      <c r="H253" s="230">
        <f t="shared" si="34"/>
        <v>170.54</v>
      </c>
      <c r="I253" s="380">
        <f t="shared" si="35"/>
        <v>5968.9</v>
      </c>
    </row>
    <row r="254" spans="2:9" ht="38.25" x14ac:dyDescent="0.25">
      <c r="B254" s="379" t="s">
        <v>590</v>
      </c>
      <c r="C254" s="21" t="str">
        <f>'PMA ELE'!B128</f>
        <v>PMA ELE 015</v>
      </c>
      <c r="D254" s="51" t="s">
        <v>1271</v>
      </c>
      <c r="E254" s="48" t="s">
        <v>309</v>
      </c>
      <c r="F254" s="311">
        <v>1</v>
      </c>
      <c r="G254" s="229">
        <f>'PMA ELE'!H137</f>
        <v>147.65</v>
      </c>
      <c r="H254" s="230">
        <f t="shared" si="34"/>
        <v>188.79</v>
      </c>
      <c r="I254" s="380">
        <f t="shared" si="35"/>
        <v>188.79</v>
      </c>
    </row>
    <row r="255" spans="2:9" ht="38.25" x14ac:dyDescent="0.25">
      <c r="B255" s="379" t="s">
        <v>591</v>
      </c>
      <c r="C255" s="21" t="str">
        <f>'PMA ELE'!B139</f>
        <v>PMA ELE 016</v>
      </c>
      <c r="D255" s="295" t="s">
        <v>1272</v>
      </c>
      <c r="E255" s="48" t="s">
        <v>309</v>
      </c>
      <c r="F255" s="311">
        <v>1</v>
      </c>
      <c r="G255" s="229">
        <f>'PMA ELE'!H148</f>
        <v>89.54</v>
      </c>
      <c r="H255" s="230">
        <f t="shared" si="34"/>
        <v>114.49</v>
      </c>
      <c r="I255" s="380">
        <f t="shared" si="35"/>
        <v>114.49</v>
      </c>
    </row>
    <row r="256" spans="2:9" ht="25.5" x14ac:dyDescent="0.25">
      <c r="B256" s="379" t="s">
        <v>592</v>
      </c>
      <c r="C256" s="48">
        <v>96989</v>
      </c>
      <c r="D256" s="49" t="s">
        <v>1273</v>
      </c>
      <c r="E256" s="48" t="s">
        <v>248</v>
      </c>
      <c r="F256" s="311">
        <v>12</v>
      </c>
      <c r="G256" s="229">
        <v>152.75</v>
      </c>
      <c r="H256" s="230">
        <f t="shared" si="34"/>
        <v>195.31</v>
      </c>
      <c r="I256" s="380">
        <f t="shared" si="35"/>
        <v>2343.7199999999998</v>
      </c>
    </row>
    <row r="257" spans="2:9" ht="51" x14ac:dyDescent="0.25">
      <c r="B257" s="379" t="s">
        <v>593</v>
      </c>
      <c r="C257" s="48" t="str">
        <f>'PMA ELE'!B150</f>
        <v>PMA ELE 017</v>
      </c>
      <c r="D257" s="49" t="s">
        <v>555</v>
      </c>
      <c r="E257" s="48" t="s">
        <v>309</v>
      </c>
      <c r="F257" s="311">
        <v>42</v>
      </c>
      <c r="G257" s="229">
        <f>'PMA ELE'!H154</f>
        <v>17.489999999999998</v>
      </c>
      <c r="H257" s="230">
        <f t="shared" si="34"/>
        <v>22.36</v>
      </c>
      <c r="I257" s="380">
        <f t="shared" si="35"/>
        <v>939.12</v>
      </c>
    </row>
    <row r="258" spans="2:9" ht="38.25" x14ac:dyDescent="0.25">
      <c r="B258" s="379" t="s">
        <v>1424</v>
      </c>
      <c r="C258" s="48" t="str">
        <f>'PMA ELE'!B156</f>
        <v>PMA ELE 018</v>
      </c>
      <c r="D258" s="50" t="s">
        <v>1147</v>
      </c>
      <c r="E258" s="48" t="s">
        <v>309</v>
      </c>
      <c r="F258" s="311">
        <v>12</v>
      </c>
      <c r="G258" s="229">
        <f>'PMA ELE'!H160</f>
        <v>8.02</v>
      </c>
      <c r="H258" s="230">
        <f t="shared" si="34"/>
        <v>10.25</v>
      </c>
      <c r="I258" s="380">
        <f t="shared" si="35"/>
        <v>123</v>
      </c>
    </row>
    <row r="259" spans="2:9" x14ac:dyDescent="0.25">
      <c r="B259" s="379" t="s">
        <v>594</v>
      </c>
      <c r="C259" s="48" t="str">
        <f>'PMA ELE'!B162</f>
        <v>PMA ELE 019</v>
      </c>
      <c r="D259" s="50" t="s">
        <v>798</v>
      </c>
      <c r="E259" s="48" t="s">
        <v>309</v>
      </c>
      <c r="F259" s="311">
        <v>30</v>
      </c>
      <c r="G259" s="229">
        <f>'PMA ELE'!H166</f>
        <v>3.55</v>
      </c>
      <c r="H259" s="230">
        <f t="shared" si="34"/>
        <v>4.54</v>
      </c>
      <c r="I259" s="380">
        <f t="shared" si="35"/>
        <v>136.19999999999999</v>
      </c>
    </row>
    <row r="260" spans="2:9" ht="25.5" x14ac:dyDescent="0.25">
      <c r="B260" s="379" t="s">
        <v>595</v>
      </c>
      <c r="C260" s="48" t="str">
        <f>'PMA ELE'!B168</f>
        <v>PMA ELE 020</v>
      </c>
      <c r="D260" s="49" t="s">
        <v>1151</v>
      </c>
      <c r="E260" s="48" t="s">
        <v>248</v>
      </c>
      <c r="F260" s="311">
        <v>50</v>
      </c>
      <c r="G260" s="229">
        <f>'PMA ELE'!H174</f>
        <v>30.95</v>
      </c>
      <c r="H260" s="230">
        <f t="shared" si="34"/>
        <v>39.57</v>
      </c>
      <c r="I260" s="380">
        <f t="shared" si="35"/>
        <v>1978.5</v>
      </c>
    </row>
    <row r="261" spans="2:9" ht="25.5" x14ac:dyDescent="0.25">
      <c r="B261" s="379" t="s">
        <v>596</v>
      </c>
      <c r="C261" s="48" t="str">
        <f>'PMA ELE'!B176</f>
        <v>PMA ELE 021</v>
      </c>
      <c r="D261" s="49" t="s">
        <v>1274</v>
      </c>
      <c r="E261" s="48" t="s">
        <v>309</v>
      </c>
      <c r="F261" s="311">
        <v>12</v>
      </c>
      <c r="G261" s="229">
        <f>'PMA ELE'!H182</f>
        <v>15.34</v>
      </c>
      <c r="H261" s="230">
        <f t="shared" si="34"/>
        <v>19.61</v>
      </c>
      <c r="I261" s="380">
        <f t="shared" si="35"/>
        <v>235.32</v>
      </c>
    </row>
    <row r="262" spans="2:9" ht="38.25" x14ac:dyDescent="0.25">
      <c r="B262" s="379" t="s">
        <v>597</v>
      </c>
      <c r="C262" s="48" t="str">
        <f>'PMA ELE'!B184</f>
        <v>PMA ELE 022</v>
      </c>
      <c r="D262" s="49" t="s">
        <v>1275</v>
      </c>
      <c r="E262" s="48" t="s">
        <v>309</v>
      </c>
      <c r="F262" s="311">
        <v>12</v>
      </c>
      <c r="G262" s="229">
        <f>'PMA ELE'!H189</f>
        <v>85.84</v>
      </c>
      <c r="H262" s="230">
        <f t="shared" si="34"/>
        <v>109.76</v>
      </c>
      <c r="I262" s="380">
        <f t="shared" si="35"/>
        <v>1317.12</v>
      </c>
    </row>
    <row r="263" spans="2:9" ht="38.25" x14ac:dyDescent="0.25">
      <c r="B263" s="379" t="s">
        <v>598</v>
      </c>
      <c r="C263" s="48">
        <v>91871</v>
      </c>
      <c r="D263" s="49" t="s">
        <v>1117</v>
      </c>
      <c r="E263" s="48" t="s">
        <v>248</v>
      </c>
      <c r="F263" s="311">
        <v>15</v>
      </c>
      <c r="G263" s="229">
        <v>12.51</v>
      </c>
      <c r="H263" s="230">
        <f t="shared" si="34"/>
        <v>16</v>
      </c>
      <c r="I263" s="380">
        <f t="shared" si="35"/>
        <v>240</v>
      </c>
    </row>
    <row r="264" spans="2:9" ht="25.5" x14ac:dyDescent="0.25">
      <c r="B264" s="379" t="s">
        <v>599</v>
      </c>
      <c r="C264" s="48" t="str">
        <f>'PMA ELE'!B191</f>
        <v>PMA ELE 023</v>
      </c>
      <c r="D264" s="49" t="s">
        <v>1276</v>
      </c>
      <c r="E264" s="48" t="s">
        <v>309</v>
      </c>
      <c r="F264" s="311">
        <v>1</v>
      </c>
      <c r="G264" s="229">
        <f>'PMA ELE'!H198</f>
        <v>321.38</v>
      </c>
      <c r="H264" s="230">
        <f t="shared" si="34"/>
        <v>410.92</v>
      </c>
      <c r="I264" s="380">
        <f t="shared" si="35"/>
        <v>410.92</v>
      </c>
    </row>
    <row r="265" spans="2:9" ht="25.5" x14ac:dyDescent="0.25">
      <c r="B265" s="379" t="s">
        <v>600</v>
      </c>
      <c r="C265" s="48">
        <v>96985</v>
      </c>
      <c r="D265" s="49" t="s">
        <v>1277</v>
      </c>
      <c r="E265" s="48" t="s">
        <v>309</v>
      </c>
      <c r="F265" s="311">
        <v>12</v>
      </c>
      <c r="G265" s="229">
        <v>75.94</v>
      </c>
      <c r="H265" s="230">
        <f t="shared" si="34"/>
        <v>97.1</v>
      </c>
      <c r="I265" s="380">
        <f t="shared" si="35"/>
        <v>1165.2</v>
      </c>
    </row>
    <row r="266" spans="2:9" ht="38.25" x14ac:dyDescent="0.25">
      <c r="B266" s="379" t="s">
        <v>601</v>
      </c>
      <c r="C266" s="48">
        <v>98111</v>
      </c>
      <c r="D266" s="49" t="s">
        <v>1278</v>
      </c>
      <c r="E266" s="48" t="s">
        <v>309</v>
      </c>
      <c r="F266" s="311">
        <v>12</v>
      </c>
      <c r="G266" s="229">
        <v>59.33</v>
      </c>
      <c r="H266" s="230">
        <f t="shared" si="34"/>
        <v>75.86</v>
      </c>
      <c r="I266" s="380">
        <f t="shared" si="35"/>
        <v>910.32</v>
      </c>
    </row>
    <row r="267" spans="2:9" ht="25.5" x14ac:dyDescent="0.25">
      <c r="B267" s="379" t="s">
        <v>602</v>
      </c>
      <c r="C267" s="48" t="str">
        <f>'PMA ELE'!B200</f>
        <v>PMA ELE 024</v>
      </c>
      <c r="D267" s="50" t="s">
        <v>1169</v>
      </c>
      <c r="E267" s="48" t="s">
        <v>309</v>
      </c>
      <c r="F267" s="311">
        <v>8</v>
      </c>
      <c r="G267" s="229">
        <f>'PMA ELE'!H205</f>
        <v>8.89</v>
      </c>
      <c r="H267" s="230">
        <f t="shared" si="34"/>
        <v>11.37</v>
      </c>
      <c r="I267" s="380">
        <f t="shared" si="35"/>
        <v>90.96</v>
      </c>
    </row>
    <row r="268" spans="2:9" ht="25.5" x14ac:dyDescent="0.25">
      <c r="B268" s="379" t="s">
        <v>603</v>
      </c>
      <c r="C268" s="347" t="str">
        <f>'PMA ELE'!B207</f>
        <v>PMA ELE 025</v>
      </c>
      <c r="D268" s="50" t="s">
        <v>1172</v>
      </c>
      <c r="E268" s="48" t="s">
        <v>309</v>
      </c>
      <c r="F268" s="311">
        <v>8</v>
      </c>
      <c r="G268" s="229">
        <f>'PMA ELE'!H212</f>
        <v>9.23</v>
      </c>
      <c r="H268" s="230">
        <f t="shared" si="34"/>
        <v>11.8</v>
      </c>
      <c r="I268" s="380">
        <f t="shared" si="35"/>
        <v>94.4</v>
      </c>
    </row>
    <row r="269" spans="2:9" ht="25.5" x14ac:dyDescent="0.25">
      <c r="B269" s="379" t="s">
        <v>604</v>
      </c>
      <c r="C269" s="48" t="str">
        <f>'PMA ELE'!B214</f>
        <v>PMA ELE 026</v>
      </c>
      <c r="D269" s="50" t="s">
        <v>1175</v>
      </c>
      <c r="E269" s="48" t="s">
        <v>309</v>
      </c>
      <c r="F269" s="311">
        <v>2</v>
      </c>
      <c r="G269" s="229">
        <f>'PMA ELE'!H219</f>
        <v>12.72</v>
      </c>
      <c r="H269" s="230">
        <f t="shared" si="34"/>
        <v>16.260000000000002</v>
      </c>
      <c r="I269" s="380">
        <f t="shared" si="35"/>
        <v>32.520000000000003</v>
      </c>
    </row>
    <row r="270" spans="2:9" ht="25.5" x14ac:dyDescent="0.25">
      <c r="B270" s="379" t="s">
        <v>605</v>
      </c>
      <c r="C270" s="48" t="str">
        <f>'PMA ELE'!B221</f>
        <v>PMA ELE 027</v>
      </c>
      <c r="D270" s="50" t="s">
        <v>1178</v>
      </c>
      <c r="E270" s="48" t="s">
        <v>309</v>
      </c>
      <c r="F270" s="311">
        <v>8</v>
      </c>
      <c r="G270" s="229">
        <f>'PMA ELE'!H226</f>
        <v>17.48</v>
      </c>
      <c r="H270" s="230">
        <f t="shared" si="34"/>
        <v>22.35</v>
      </c>
      <c r="I270" s="380">
        <f t="shared" si="35"/>
        <v>178.8</v>
      </c>
    </row>
    <row r="271" spans="2:9" ht="38.25" x14ac:dyDescent="0.25">
      <c r="B271" s="379" t="s">
        <v>606</v>
      </c>
      <c r="C271" s="48" t="str">
        <f>'PMA ELE'!B228</f>
        <v>PMA ELE 028</v>
      </c>
      <c r="D271" s="50" t="s">
        <v>1181</v>
      </c>
      <c r="E271" s="48" t="s">
        <v>248</v>
      </c>
      <c r="F271" s="207">
        <v>20</v>
      </c>
      <c r="G271" s="229">
        <f>'PMA ELE'!H234</f>
        <v>9.5</v>
      </c>
      <c r="H271" s="230">
        <f t="shared" si="34"/>
        <v>12.15</v>
      </c>
      <c r="I271" s="380">
        <f t="shared" si="35"/>
        <v>243</v>
      </c>
    </row>
    <row r="272" spans="2:9" ht="38.25" x14ac:dyDescent="0.25">
      <c r="B272" s="379" t="s">
        <v>607</v>
      </c>
      <c r="C272" s="48">
        <v>91926</v>
      </c>
      <c r="D272" s="49" t="s">
        <v>1279</v>
      </c>
      <c r="E272" s="48" t="s">
        <v>248</v>
      </c>
      <c r="F272" s="207">
        <v>250</v>
      </c>
      <c r="G272" s="229">
        <v>3.85</v>
      </c>
      <c r="H272" s="230">
        <f t="shared" si="34"/>
        <v>4.92</v>
      </c>
      <c r="I272" s="380">
        <f t="shared" si="35"/>
        <v>1230</v>
      </c>
    </row>
    <row r="273" spans="2:9" ht="51" x14ac:dyDescent="0.25">
      <c r="B273" s="379" t="s">
        <v>608</v>
      </c>
      <c r="C273" s="48">
        <v>91926</v>
      </c>
      <c r="D273" s="49" t="s">
        <v>1280</v>
      </c>
      <c r="E273" s="48" t="s">
        <v>248</v>
      </c>
      <c r="F273" s="207">
        <v>1800</v>
      </c>
      <c r="G273" s="229">
        <f>G272</f>
        <v>3.85</v>
      </c>
      <c r="H273" s="230">
        <f t="shared" si="34"/>
        <v>4.92</v>
      </c>
      <c r="I273" s="380">
        <f t="shared" si="35"/>
        <v>8856</v>
      </c>
    </row>
    <row r="274" spans="2:9" ht="51" x14ac:dyDescent="0.25">
      <c r="B274" s="379" t="s">
        <v>609</v>
      </c>
      <c r="C274" s="48">
        <v>91926</v>
      </c>
      <c r="D274" s="49" t="s">
        <v>1281</v>
      </c>
      <c r="E274" s="48" t="s">
        <v>248</v>
      </c>
      <c r="F274" s="207">
        <v>1000</v>
      </c>
      <c r="G274" s="229">
        <f>G273</f>
        <v>3.85</v>
      </c>
      <c r="H274" s="230">
        <f t="shared" si="34"/>
        <v>4.92</v>
      </c>
      <c r="I274" s="380">
        <f t="shared" si="35"/>
        <v>4920</v>
      </c>
    </row>
    <row r="275" spans="2:9" ht="46.5" customHeight="1" x14ac:dyDescent="0.25">
      <c r="B275" s="379" t="s">
        <v>610</v>
      </c>
      <c r="C275" s="48">
        <v>91926</v>
      </c>
      <c r="D275" s="49" t="s">
        <v>1282</v>
      </c>
      <c r="E275" s="48" t="s">
        <v>248</v>
      </c>
      <c r="F275" s="207">
        <v>400</v>
      </c>
      <c r="G275" s="229">
        <f>G274</f>
        <v>3.85</v>
      </c>
      <c r="H275" s="230">
        <f t="shared" si="34"/>
        <v>4.92</v>
      </c>
      <c r="I275" s="380">
        <f t="shared" si="35"/>
        <v>1968</v>
      </c>
    </row>
    <row r="276" spans="2:9" ht="51" x14ac:dyDescent="0.25">
      <c r="B276" s="379" t="s">
        <v>611</v>
      </c>
      <c r="C276" s="48">
        <v>91926</v>
      </c>
      <c r="D276" s="49" t="s">
        <v>1283</v>
      </c>
      <c r="E276" s="48" t="s">
        <v>248</v>
      </c>
      <c r="F276" s="207">
        <v>1000</v>
      </c>
      <c r="G276" s="229">
        <f>G275</f>
        <v>3.85</v>
      </c>
      <c r="H276" s="230">
        <f t="shared" si="34"/>
        <v>4.92</v>
      </c>
      <c r="I276" s="380">
        <f t="shared" si="35"/>
        <v>4920</v>
      </c>
    </row>
    <row r="277" spans="2:9" ht="38.25" x14ac:dyDescent="0.25">
      <c r="B277" s="379" t="s">
        <v>612</v>
      </c>
      <c r="C277" s="48">
        <v>91928</v>
      </c>
      <c r="D277" s="49" t="s">
        <v>1284</v>
      </c>
      <c r="E277" s="48" t="s">
        <v>248</v>
      </c>
      <c r="F277" s="207">
        <v>200</v>
      </c>
      <c r="G277" s="229">
        <v>5.96</v>
      </c>
      <c r="H277" s="230">
        <f t="shared" si="34"/>
        <v>7.62</v>
      </c>
      <c r="I277" s="380">
        <f t="shared" si="35"/>
        <v>1524</v>
      </c>
    </row>
    <row r="278" spans="2:9" ht="51" x14ac:dyDescent="0.25">
      <c r="B278" s="379" t="s">
        <v>613</v>
      </c>
      <c r="C278" s="48">
        <v>91928</v>
      </c>
      <c r="D278" s="49" t="s">
        <v>1285</v>
      </c>
      <c r="E278" s="48" t="s">
        <v>248</v>
      </c>
      <c r="F278" s="207">
        <v>1500</v>
      </c>
      <c r="G278" s="229">
        <f>G277</f>
        <v>5.96</v>
      </c>
      <c r="H278" s="230">
        <f t="shared" si="34"/>
        <v>7.62</v>
      </c>
      <c r="I278" s="380">
        <f t="shared" si="35"/>
        <v>11430</v>
      </c>
    </row>
    <row r="279" spans="2:9" ht="38.25" x14ac:dyDescent="0.25">
      <c r="B279" s="379" t="s">
        <v>614</v>
      </c>
      <c r="C279" s="48">
        <v>91928</v>
      </c>
      <c r="D279" s="49" t="s">
        <v>1286</v>
      </c>
      <c r="E279" s="48" t="s">
        <v>248</v>
      </c>
      <c r="F279" s="207">
        <v>2000</v>
      </c>
      <c r="G279" s="229">
        <f>G278</f>
        <v>5.96</v>
      </c>
      <c r="H279" s="230">
        <f t="shared" si="34"/>
        <v>7.62</v>
      </c>
      <c r="I279" s="380">
        <f t="shared" si="35"/>
        <v>15240</v>
      </c>
    </row>
    <row r="280" spans="2:9" ht="46.5" customHeight="1" x14ac:dyDescent="0.25">
      <c r="B280" s="379" t="s">
        <v>615</v>
      </c>
      <c r="C280" s="48">
        <v>91928</v>
      </c>
      <c r="D280" s="51" t="s">
        <v>1287</v>
      </c>
      <c r="E280" s="48" t="s">
        <v>248</v>
      </c>
      <c r="F280" s="207">
        <v>1700</v>
      </c>
      <c r="G280" s="229">
        <f>G279</f>
        <v>5.96</v>
      </c>
      <c r="H280" s="230">
        <f t="shared" si="34"/>
        <v>7.62</v>
      </c>
      <c r="I280" s="380">
        <f t="shared" si="35"/>
        <v>12954</v>
      </c>
    </row>
    <row r="281" spans="2:9" ht="38.25" x14ac:dyDescent="0.25">
      <c r="B281" s="379" t="s">
        <v>616</v>
      </c>
      <c r="C281" s="48">
        <v>91928</v>
      </c>
      <c r="D281" s="51" t="s">
        <v>1288</v>
      </c>
      <c r="E281" s="48" t="s">
        <v>248</v>
      </c>
      <c r="F281" s="207">
        <v>800</v>
      </c>
      <c r="G281" s="229">
        <f>G280</f>
        <v>5.96</v>
      </c>
      <c r="H281" s="230">
        <f t="shared" si="34"/>
        <v>7.62</v>
      </c>
      <c r="I281" s="380">
        <f t="shared" si="35"/>
        <v>6096</v>
      </c>
    </row>
    <row r="282" spans="2:9" ht="46.5" customHeight="1" x14ac:dyDescent="0.25">
      <c r="B282" s="379" t="s">
        <v>617</v>
      </c>
      <c r="C282" s="48">
        <v>91930</v>
      </c>
      <c r="D282" s="51" t="s">
        <v>1289</v>
      </c>
      <c r="E282" s="48" t="s">
        <v>248</v>
      </c>
      <c r="F282" s="207">
        <v>500</v>
      </c>
      <c r="G282" s="229">
        <v>8.32</v>
      </c>
      <c r="H282" s="230">
        <f t="shared" si="34"/>
        <v>10.64</v>
      </c>
      <c r="I282" s="380">
        <f t="shared" si="35"/>
        <v>5320</v>
      </c>
    </row>
    <row r="283" spans="2:9" ht="25.5" x14ac:dyDescent="0.25">
      <c r="B283" s="379" t="s">
        <v>618</v>
      </c>
      <c r="C283" s="48" t="str">
        <f>'PMA ELE'!B236</f>
        <v>PMA ELE 029</v>
      </c>
      <c r="D283" s="51" t="s">
        <v>1290</v>
      </c>
      <c r="E283" s="48" t="s">
        <v>248</v>
      </c>
      <c r="F283" s="207">
        <v>115</v>
      </c>
      <c r="G283" s="229">
        <f>'PMA ELE'!H241</f>
        <v>67.06</v>
      </c>
      <c r="H283" s="230">
        <f t="shared" si="34"/>
        <v>85.74</v>
      </c>
      <c r="I283" s="380">
        <f t="shared" si="35"/>
        <v>9860.1</v>
      </c>
    </row>
    <row r="284" spans="2:9" ht="38.25" x14ac:dyDescent="0.25">
      <c r="B284" s="379" t="s">
        <v>619</v>
      </c>
      <c r="C284" s="48">
        <v>91933</v>
      </c>
      <c r="D284" s="51" t="s">
        <v>1291</v>
      </c>
      <c r="E284" s="48" t="s">
        <v>248</v>
      </c>
      <c r="F284" s="207">
        <v>225</v>
      </c>
      <c r="G284" s="229">
        <v>14.4</v>
      </c>
      <c r="H284" s="230">
        <f t="shared" si="34"/>
        <v>18.41</v>
      </c>
      <c r="I284" s="380">
        <f t="shared" si="35"/>
        <v>4142.25</v>
      </c>
    </row>
    <row r="285" spans="2:9" ht="38.25" x14ac:dyDescent="0.25">
      <c r="B285" s="379" t="s">
        <v>620</v>
      </c>
      <c r="C285" s="48">
        <v>91935</v>
      </c>
      <c r="D285" s="51" t="s">
        <v>1292</v>
      </c>
      <c r="E285" s="48" t="s">
        <v>248</v>
      </c>
      <c r="F285" s="207">
        <v>20</v>
      </c>
      <c r="G285" s="229">
        <v>22.61</v>
      </c>
      <c r="H285" s="230">
        <f t="shared" si="34"/>
        <v>28.91</v>
      </c>
      <c r="I285" s="380">
        <f t="shared" si="35"/>
        <v>578.20000000000005</v>
      </c>
    </row>
    <row r="286" spans="2:9" ht="38.25" x14ac:dyDescent="0.25">
      <c r="B286" s="379" t="s">
        <v>621</v>
      </c>
      <c r="C286" s="48">
        <v>92984</v>
      </c>
      <c r="D286" s="51" t="s">
        <v>1293</v>
      </c>
      <c r="E286" s="48" t="s">
        <v>248</v>
      </c>
      <c r="F286" s="207">
        <v>20</v>
      </c>
      <c r="G286" s="229">
        <v>26.11</v>
      </c>
      <c r="H286" s="230">
        <f t="shared" si="34"/>
        <v>33.380000000000003</v>
      </c>
      <c r="I286" s="380">
        <f t="shared" si="35"/>
        <v>667.6</v>
      </c>
    </row>
    <row r="287" spans="2:9" ht="38.25" x14ac:dyDescent="0.25">
      <c r="B287" s="379" t="s">
        <v>622</v>
      </c>
      <c r="C287" s="48">
        <v>92986</v>
      </c>
      <c r="D287" s="51" t="s">
        <v>1294</v>
      </c>
      <c r="E287" s="48" t="s">
        <v>248</v>
      </c>
      <c r="F287" s="207">
        <v>80</v>
      </c>
      <c r="G287" s="229">
        <v>36.229999999999997</v>
      </c>
      <c r="H287" s="230">
        <f t="shared" si="34"/>
        <v>46.32</v>
      </c>
      <c r="I287" s="380">
        <f t="shared" si="35"/>
        <v>3705.6</v>
      </c>
    </row>
    <row r="288" spans="2:9" ht="38.25" x14ac:dyDescent="0.25">
      <c r="B288" s="379" t="s">
        <v>623</v>
      </c>
      <c r="C288" s="48">
        <v>92988</v>
      </c>
      <c r="D288" s="51" t="s">
        <v>1295</v>
      </c>
      <c r="E288" s="48" t="s">
        <v>248</v>
      </c>
      <c r="F288" s="207">
        <v>60</v>
      </c>
      <c r="G288" s="229">
        <v>52.72</v>
      </c>
      <c r="H288" s="230">
        <f t="shared" si="34"/>
        <v>67.41</v>
      </c>
      <c r="I288" s="380">
        <f t="shared" si="35"/>
        <v>4044.6</v>
      </c>
    </row>
    <row r="289" spans="2:9" ht="38.25" x14ac:dyDescent="0.25">
      <c r="B289" s="379" t="s">
        <v>624</v>
      </c>
      <c r="C289" s="48">
        <v>92990</v>
      </c>
      <c r="D289" s="51" t="s">
        <v>1296</v>
      </c>
      <c r="E289" s="48" t="s">
        <v>248</v>
      </c>
      <c r="F289" s="207">
        <v>30</v>
      </c>
      <c r="G289" s="229">
        <v>73.099999999999994</v>
      </c>
      <c r="H289" s="230">
        <f t="shared" si="34"/>
        <v>93.47</v>
      </c>
      <c r="I289" s="380">
        <f t="shared" si="35"/>
        <v>2804.1</v>
      </c>
    </row>
    <row r="290" spans="2:9" ht="38.25" x14ac:dyDescent="0.25">
      <c r="B290" s="379" t="s">
        <v>625</v>
      </c>
      <c r="C290" s="48">
        <v>92992</v>
      </c>
      <c r="D290" s="51" t="s">
        <v>1297</v>
      </c>
      <c r="E290" s="48" t="s">
        <v>248</v>
      </c>
      <c r="F290" s="207">
        <v>120</v>
      </c>
      <c r="G290" s="229">
        <v>94.57</v>
      </c>
      <c r="H290" s="230">
        <f t="shared" si="34"/>
        <v>120.92</v>
      </c>
      <c r="I290" s="380">
        <f t="shared" si="35"/>
        <v>14510.4</v>
      </c>
    </row>
    <row r="291" spans="2:9" ht="38.25" x14ac:dyDescent="0.25">
      <c r="B291" s="379" t="s">
        <v>626</v>
      </c>
      <c r="C291" s="48">
        <v>92994</v>
      </c>
      <c r="D291" s="51" t="s">
        <v>1298</v>
      </c>
      <c r="E291" s="48" t="s">
        <v>248</v>
      </c>
      <c r="F291" s="207">
        <v>120</v>
      </c>
      <c r="G291" s="229">
        <v>123.01</v>
      </c>
      <c r="H291" s="230">
        <f t="shared" si="34"/>
        <v>157.28</v>
      </c>
      <c r="I291" s="380">
        <f t="shared" si="35"/>
        <v>18873.599999999999</v>
      </c>
    </row>
    <row r="292" spans="2:9" ht="140.25" x14ac:dyDescent="0.25">
      <c r="B292" s="379" t="s">
        <v>627</v>
      </c>
      <c r="C292" s="48" t="str">
        <f>'PMA ELE'!B243</f>
        <v>PMA ELE 030</v>
      </c>
      <c r="D292" s="49" t="s">
        <v>1299</v>
      </c>
      <c r="E292" s="48" t="s">
        <v>309</v>
      </c>
      <c r="F292" s="207">
        <v>6</v>
      </c>
      <c r="G292" s="229">
        <f>'PMA ELE'!H248</f>
        <v>345.9</v>
      </c>
      <c r="H292" s="230">
        <f t="shared" si="34"/>
        <v>442.27</v>
      </c>
      <c r="I292" s="380">
        <f t="shared" si="35"/>
        <v>2653.62</v>
      </c>
    </row>
    <row r="293" spans="2:9" ht="63.75" x14ac:dyDescent="0.25">
      <c r="B293" s="379" t="s">
        <v>628</v>
      </c>
      <c r="C293" s="48" t="str">
        <f>'PMA ELE'!B250</f>
        <v>PMA ELE 031</v>
      </c>
      <c r="D293" s="49" t="s">
        <v>1300</v>
      </c>
      <c r="E293" s="48" t="s">
        <v>309</v>
      </c>
      <c r="F293" s="207">
        <v>6</v>
      </c>
      <c r="G293" s="229">
        <f>'PMA ELE'!H255</f>
        <v>239.75</v>
      </c>
      <c r="H293" s="230">
        <f t="shared" si="34"/>
        <v>306.54000000000002</v>
      </c>
      <c r="I293" s="380">
        <f t="shared" si="35"/>
        <v>1839.24</v>
      </c>
    </row>
    <row r="294" spans="2:9" ht="38.25" x14ac:dyDescent="0.25">
      <c r="B294" s="379" t="s">
        <v>629</v>
      </c>
      <c r="C294" s="48">
        <v>97599</v>
      </c>
      <c r="D294" s="346" t="s">
        <v>1301</v>
      </c>
      <c r="E294" s="48" t="s">
        <v>309</v>
      </c>
      <c r="F294" s="207">
        <v>14</v>
      </c>
      <c r="G294" s="229">
        <v>23.14</v>
      </c>
      <c r="H294" s="230">
        <f t="shared" ref="H294:H343" si="36">G294*($F$6+1)</f>
        <v>29.59</v>
      </c>
      <c r="I294" s="380">
        <f t="shared" si="35"/>
        <v>414.26</v>
      </c>
    </row>
    <row r="295" spans="2:9" ht="51" x14ac:dyDescent="0.25">
      <c r="B295" s="379" t="s">
        <v>630</v>
      </c>
      <c r="C295" s="48" t="str">
        <f>'PMA ELE'!B257</f>
        <v>PMA ELE 032</v>
      </c>
      <c r="D295" s="49" t="s">
        <v>1302</v>
      </c>
      <c r="E295" s="48" t="s">
        <v>309</v>
      </c>
      <c r="F295" s="207">
        <v>1</v>
      </c>
      <c r="G295" s="229">
        <f>'PMA ELE'!H263</f>
        <v>1508.79</v>
      </c>
      <c r="H295" s="230">
        <f t="shared" si="36"/>
        <v>1929.14</v>
      </c>
      <c r="I295" s="380">
        <f t="shared" ref="I295:I344" si="37">F295*H295</f>
        <v>1929.14</v>
      </c>
    </row>
    <row r="296" spans="2:9" ht="38.25" x14ac:dyDescent="0.25">
      <c r="B296" s="379" t="s">
        <v>631</v>
      </c>
      <c r="C296" s="48">
        <v>101896</v>
      </c>
      <c r="D296" s="49" t="s">
        <v>1303</v>
      </c>
      <c r="E296" s="48" t="s">
        <v>309</v>
      </c>
      <c r="F296" s="207">
        <v>1</v>
      </c>
      <c r="G296" s="229">
        <v>698.14</v>
      </c>
      <c r="H296" s="230">
        <f t="shared" si="36"/>
        <v>892.64</v>
      </c>
      <c r="I296" s="380">
        <f t="shared" si="37"/>
        <v>892.64</v>
      </c>
    </row>
    <row r="297" spans="2:9" ht="38.25" x14ac:dyDescent="0.25">
      <c r="B297" s="379" t="s">
        <v>632</v>
      </c>
      <c r="C297" s="48">
        <v>101895</v>
      </c>
      <c r="D297" s="49" t="s">
        <v>1304</v>
      </c>
      <c r="E297" s="48" t="s">
        <v>309</v>
      </c>
      <c r="F297" s="207">
        <v>1</v>
      </c>
      <c r="G297" s="229">
        <v>459.44</v>
      </c>
      <c r="H297" s="230">
        <f t="shared" si="36"/>
        <v>587.44000000000005</v>
      </c>
      <c r="I297" s="380">
        <f t="shared" si="37"/>
        <v>587.44000000000005</v>
      </c>
    </row>
    <row r="298" spans="2:9" ht="38.25" x14ac:dyDescent="0.25">
      <c r="B298" s="379" t="s">
        <v>633</v>
      </c>
      <c r="C298" s="48">
        <v>101895</v>
      </c>
      <c r="D298" s="49" t="s">
        <v>1305</v>
      </c>
      <c r="E298" s="48" t="s">
        <v>309</v>
      </c>
      <c r="F298" s="207">
        <v>1</v>
      </c>
      <c r="G298" s="229">
        <f>G297</f>
        <v>459.44</v>
      </c>
      <c r="H298" s="230">
        <f t="shared" si="36"/>
        <v>587.44000000000005</v>
      </c>
      <c r="I298" s="380">
        <f t="shared" si="37"/>
        <v>587.44000000000005</v>
      </c>
    </row>
    <row r="299" spans="2:9" ht="38.25" x14ac:dyDescent="0.25">
      <c r="B299" s="379" t="s">
        <v>1309</v>
      </c>
      <c r="C299" s="48">
        <v>93672</v>
      </c>
      <c r="D299" s="49" t="s">
        <v>1306</v>
      </c>
      <c r="E299" s="48" t="s">
        <v>309</v>
      </c>
      <c r="F299" s="207">
        <v>3</v>
      </c>
      <c r="G299" s="229">
        <v>92.98</v>
      </c>
      <c r="H299" s="230">
        <f t="shared" si="36"/>
        <v>118.88</v>
      </c>
      <c r="I299" s="380">
        <f t="shared" si="37"/>
        <v>356.64</v>
      </c>
    </row>
    <row r="300" spans="2:9" ht="38.25" x14ac:dyDescent="0.25">
      <c r="B300" s="379" t="s">
        <v>1311</v>
      </c>
      <c r="C300" s="48">
        <v>93669</v>
      </c>
      <c r="D300" s="49" t="s">
        <v>1307</v>
      </c>
      <c r="E300" s="48" t="s">
        <v>309</v>
      </c>
      <c r="F300" s="207">
        <v>1</v>
      </c>
      <c r="G300" s="229">
        <v>83.31</v>
      </c>
      <c r="H300" s="230">
        <f t="shared" si="36"/>
        <v>106.52</v>
      </c>
      <c r="I300" s="380">
        <f t="shared" si="37"/>
        <v>106.52</v>
      </c>
    </row>
    <row r="301" spans="2:9" ht="38.25" x14ac:dyDescent="0.25">
      <c r="B301" s="379" t="s">
        <v>1312</v>
      </c>
      <c r="C301" s="48" t="str">
        <f>'PMA ELE'!B265</f>
        <v>PMA ELE 033</v>
      </c>
      <c r="D301" s="50" t="s">
        <v>1204</v>
      </c>
      <c r="E301" s="48" t="s">
        <v>309</v>
      </c>
      <c r="F301" s="207">
        <v>4</v>
      </c>
      <c r="G301" s="229">
        <f>'PMA ELE'!H271</f>
        <v>109.29</v>
      </c>
      <c r="H301" s="230">
        <f t="shared" si="36"/>
        <v>139.74</v>
      </c>
      <c r="I301" s="380">
        <f t="shared" si="37"/>
        <v>558.96</v>
      </c>
    </row>
    <row r="302" spans="2:9" ht="51" x14ac:dyDescent="0.25">
      <c r="B302" s="379" t="s">
        <v>1314</v>
      </c>
      <c r="C302" s="48" t="str">
        <f>'PMA ELE'!B273</f>
        <v>PMA ELE 034</v>
      </c>
      <c r="D302" s="50" t="s">
        <v>1209</v>
      </c>
      <c r="E302" s="48" t="s">
        <v>309</v>
      </c>
      <c r="F302" s="207">
        <v>1</v>
      </c>
      <c r="G302" s="229">
        <f>'PMA ELE'!H278</f>
        <v>61.72</v>
      </c>
      <c r="H302" s="230">
        <f t="shared" si="36"/>
        <v>78.92</v>
      </c>
      <c r="I302" s="380">
        <f t="shared" si="37"/>
        <v>78.92</v>
      </c>
    </row>
    <row r="303" spans="2:9" ht="63.75" x14ac:dyDescent="0.25">
      <c r="B303" s="379" t="s">
        <v>1316</v>
      </c>
      <c r="C303" s="48">
        <v>101880</v>
      </c>
      <c r="D303" s="50" t="s">
        <v>1444</v>
      </c>
      <c r="E303" s="48" t="s">
        <v>309</v>
      </c>
      <c r="F303" s="207">
        <v>1</v>
      </c>
      <c r="G303" s="229">
        <v>735.52</v>
      </c>
      <c r="H303" s="230">
        <f t="shared" si="36"/>
        <v>940.44</v>
      </c>
      <c r="I303" s="380">
        <f t="shared" si="37"/>
        <v>940.44</v>
      </c>
    </row>
    <row r="304" spans="2:9" ht="25.5" x14ac:dyDescent="0.25">
      <c r="B304" s="379" t="s">
        <v>1317</v>
      </c>
      <c r="C304" s="48" t="str">
        <f>'PMA ELE'!B296</f>
        <v>PMA ELE 037</v>
      </c>
      <c r="D304" s="49" t="s">
        <v>1308</v>
      </c>
      <c r="E304" s="48" t="s">
        <v>309</v>
      </c>
      <c r="F304" s="207">
        <v>1</v>
      </c>
      <c r="G304" s="229">
        <f>'PMA ELE'!H302</f>
        <v>515.64</v>
      </c>
      <c r="H304" s="230">
        <f t="shared" si="36"/>
        <v>659.3</v>
      </c>
      <c r="I304" s="380">
        <f t="shared" si="37"/>
        <v>659.3</v>
      </c>
    </row>
    <row r="305" spans="2:9" ht="38.25" x14ac:dyDescent="0.25">
      <c r="B305" s="379" t="s">
        <v>1320</v>
      </c>
      <c r="C305" s="48">
        <v>101895</v>
      </c>
      <c r="D305" s="49" t="s">
        <v>1310</v>
      </c>
      <c r="E305" s="48" t="s">
        <v>309</v>
      </c>
      <c r="F305" s="207">
        <v>1</v>
      </c>
      <c r="G305" s="229">
        <f>G297</f>
        <v>459.44</v>
      </c>
      <c r="H305" s="230">
        <f t="shared" si="36"/>
        <v>587.44000000000005</v>
      </c>
      <c r="I305" s="380">
        <f t="shared" si="37"/>
        <v>587.44000000000005</v>
      </c>
    </row>
    <row r="306" spans="2:9" ht="25.5" x14ac:dyDescent="0.25">
      <c r="B306" s="379" t="s">
        <v>1322</v>
      </c>
      <c r="C306" s="48" t="str">
        <f>'PMA ELE'!B304</f>
        <v>PMA ELE 038</v>
      </c>
      <c r="D306" s="49" t="s">
        <v>1224</v>
      </c>
      <c r="E306" s="48" t="s">
        <v>309</v>
      </c>
      <c r="F306" s="207">
        <v>1</v>
      </c>
      <c r="G306" s="229">
        <f>'PMA ELE'!H310</f>
        <v>305.39</v>
      </c>
      <c r="H306" s="230">
        <f t="shared" si="36"/>
        <v>390.47</v>
      </c>
      <c r="I306" s="380">
        <f t="shared" si="37"/>
        <v>390.47</v>
      </c>
    </row>
    <row r="307" spans="2:9" ht="25.5" x14ac:dyDescent="0.25">
      <c r="B307" s="379" t="s">
        <v>1324</v>
      </c>
      <c r="C307" s="48">
        <v>93673</v>
      </c>
      <c r="D307" s="49" t="s">
        <v>1313</v>
      </c>
      <c r="E307" s="48" t="s">
        <v>309</v>
      </c>
      <c r="F307" s="207">
        <v>2</v>
      </c>
      <c r="G307" s="229">
        <v>100.59</v>
      </c>
      <c r="H307" s="230">
        <f t="shared" si="36"/>
        <v>128.61000000000001</v>
      </c>
      <c r="I307" s="380">
        <f t="shared" si="37"/>
        <v>257.22000000000003</v>
      </c>
    </row>
    <row r="308" spans="2:9" ht="25.5" x14ac:dyDescent="0.25">
      <c r="B308" s="379" t="s">
        <v>1325</v>
      </c>
      <c r="C308" s="48">
        <v>93672</v>
      </c>
      <c r="D308" s="49" t="s">
        <v>1315</v>
      </c>
      <c r="E308" s="48" t="s">
        <v>309</v>
      </c>
      <c r="F308" s="207">
        <v>1</v>
      </c>
      <c r="G308" s="229">
        <v>92.98</v>
      </c>
      <c r="H308" s="230">
        <f t="shared" si="36"/>
        <v>118.88</v>
      </c>
      <c r="I308" s="380">
        <f t="shared" si="37"/>
        <v>118.88</v>
      </c>
    </row>
    <row r="309" spans="2:9" ht="38.25" x14ac:dyDescent="0.25">
      <c r="B309" s="379" t="s">
        <v>1327</v>
      </c>
      <c r="C309" s="48" t="str">
        <f>'PMA ELE'!B265</f>
        <v>PMA ELE 033</v>
      </c>
      <c r="D309" s="50" t="s">
        <v>1204</v>
      </c>
      <c r="E309" s="48" t="s">
        <v>309</v>
      </c>
      <c r="F309" s="207">
        <v>4</v>
      </c>
      <c r="G309" s="229">
        <f>'PMA ELE'!H271</f>
        <v>109.29</v>
      </c>
      <c r="H309" s="230">
        <f t="shared" si="36"/>
        <v>139.74</v>
      </c>
      <c r="I309" s="380">
        <f t="shared" si="37"/>
        <v>558.96</v>
      </c>
    </row>
    <row r="310" spans="2:9" ht="51" x14ac:dyDescent="0.25">
      <c r="B310" s="379" t="s">
        <v>1328</v>
      </c>
      <c r="C310" s="48" t="str">
        <f>'PMA ELE'!B273</f>
        <v>PMA ELE 034</v>
      </c>
      <c r="D310" s="50" t="s">
        <v>1209</v>
      </c>
      <c r="E310" s="48" t="s">
        <v>309</v>
      </c>
      <c r="F310" s="207">
        <v>1</v>
      </c>
      <c r="G310" s="229">
        <f>'PMA ELE'!H278</f>
        <v>61.72</v>
      </c>
      <c r="H310" s="230">
        <f t="shared" si="36"/>
        <v>78.92</v>
      </c>
      <c r="I310" s="380">
        <f t="shared" si="37"/>
        <v>78.92</v>
      </c>
    </row>
    <row r="311" spans="2:9" ht="63.75" x14ac:dyDescent="0.25">
      <c r="B311" s="379" t="s">
        <v>1329</v>
      </c>
      <c r="C311" s="48">
        <v>101875</v>
      </c>
      <c r="D311" s="49" t="s">
        <v>1318</v>
      </c>
      <c r="E311" s="48" t="s">
        <v>309</v>
      </c>
      <c r="F311" s="207">
        <v>1</v>
      </c>
      <c r="G311" s="229">
        <v>440.11</v>
      </c>
      <c r="H311" s="230">
        <f t="shared" si="36"/>
        <v>562.72</v>
      </c>
      <c r="I311" s="380">
        <f t="shared" si="37"/>
        <v>562.72</v>
      </c>
    </row>
    <row r="312" spans="2:9" ht="38.25" x14ac:dyDescent="0.25">
      <c r="B312" s="379" t="s">
        <v>1330</v>
      </c>
      <c r="C312" s="48">
        <v>93654</v>
      </c>
      <c r="D312" s="49" t="s">
        <v>1319</v>
      </c>
      <c r="E312" s="48" t="s">
        <v>309</v>
      </c>
      <c r="F312" s="207">
        <v>2</v>
      </c>
      <c r="G312" s="229">
        <v>13.08</v>
      </c>
      <c r="H312" s="230">
        <f t="shared" si="36"/>
        <v>16.72</v>
      </c>
      <c r="I312" s="380">
        <f t="shared" si="37"/>
        <v>33.44</v>
      </c>
    </row>
    <row r="313" spans="2:9" ht="38.25" x14ac:dyDescent="0.25">
      <c r="B313" s="379" t="s">
        <v>1331</v>
      </c>
      <c r="C313" s="48">
        <v>93655</v>
      </c>
      <c r="D313" s="49" t="s">
        <v>1321</v>
      </c>
      <c r="E313" s="48" t="s">
        <v>309</v>
      </c>
      <c r="F313" s="207">
        <v>2</v>
      </c>
      <c r="G313" s="229">
        <v>14.15</v>
      </c>
      <c r="H313" s="230">
        <f t="shared" si="36"/>
        <v>18.09</v>
      </c>
      <c r="I313" s="380">
        <f t="shared" si="37"/>
        <v>36.18</v>
      </c>
    </row>
    <row r="314" spans="2:9" ht="25.5" x14ac:dyDescent="0.25">
      <c r="B314" s="379" t="s">
        <v>1333</v>
      </c>
      <c r="C314" s="48">
        <v>93662</v>
      </c>
      <c r="D314" s="49" t="s">
        <v>1323</v>
      </c>
      <c r="E314" s="48" t="s">
        <v>309</v>
      </c>
      <c r="F314" s="207">
        <v>1</v>
      </c>
      <c r="G314" s="229">
        <v>66.209999999999994</v>
      </c>
      <c r="H314" s="230">
        <f t="shared" si="36"/>
        <v>84.66</v>
      </c>
      <c r="I314" s="380">
        <f t="shared" si="37"/>
        <v>84.66</v>
      </c>
    </row>
    <row r="315" spans="2:9" ht="38.25" x14ac:dyDescent="0.25">
      <c r="B315" s="379" t="s">
        <v>1335</v>
      </c>
      <c r="C315" s="48" t="str">
        <f>'PMA ELE'!B288</f>
        <v>PMA ELE 036</v>
      </c>
      <c r="D315" s="50" t="s">
        <v>1215</v>
      </c>
      <c r="E315" s="48" t="s">
        <v>309</v>
      </c>
      <c r="F315" s="207">
        <v>1</v>
      </c>
      <c r="G315" s="229">
        <f>'PMA ELE'!H294</f>
        <v>211.02</v>
      </c>
      <c r="H315" s="230">
        <f t="shared" si="36"/>
        <v>269.81</v>
      </c>
      <c r="I315" s="380">
        <f t="shared" si="37"/>
        <v>269.81</v>
      </c>
    </row>
    <row r="316" spans="2:9" ht="63.75" x14ac:dyDescent="0.25">
      <c r="B316" s="379" t="s">
        <v>1337</v>
      </c>
      <c r="C316" s="48" t="str">
        <f>'PMA ELE'!B280</f>
        <v>PMA ELE 035</v>
      </c>
      <c r="D316" s="49" t="s">
        <v>1326</v>
      </c>
      <c r="E316" s="48" t="s">
        <v>309</v>
      </c>
      <c r="F316" s="207">
        <v>1</v>
      </c>
      <c r="G316" s="229">
        <f>'PMA ELE'!H286</f>
        <v>1234.6500000000001</v>
      </c>
      <c r="H316" s="230">
        <f t="shared" si="36"/>
        <v>1578.62</v>
      </c>
      <c r="I316" s="380">
        <f t="shared" si="37"/>
        <v>1578.62</v>
      </c>
    </row>
    <row r="317" spans="2:9" ht="38.25" x14ac:dyDescent="0.25">
      <c r="B317" s="379" t="s">
        <v>1339</v>
      </c>
      <c r="C317" s="48" t="str">
        <f>'PMA ELE'!B328</f>
        <v>PMA ELE 041</v>
      </c>
      <c r="D317" s="50" t="s">
        <v>1215</v>
      </c>
      <c r="E317" s="48" t="s">
        <v>309</v>
      </c>
      <c r="F317" s="207">
        <v>4</v>
      </c>
      <c r="G317" s="229">
        <f>'PMA ELE'!H334</f>
        <v>108.45</v>
      </c>
      <c r="H317" s="230">
        <f t="shared" si="36"/>
        <v>138.66</v>
      </c>
      <c r="I317" s="380">
        <f t="shared" si="37"/>
        <v>554.64</v>
      </c>
    </row>
    <row r="318" spans="2:9" ht="38.25" x14ac:dyDescent="0.25">
      <c r="B318" s="379" t="s">
        <v>1340</v>
      </c>
      <c r="C318" s="48">
        <v>93654</v>
      </c>
      <c r="D318" s="49" t="s">
        <v>1319</v>
      </c>
      <c r="E318" s="48" t="s">
        <v>309</v>
      </c>
      <c r="F318" s="207">
        <v>4</v>
      </c>
      <c r="G318" s="229">
        <f>G312</f>
        <v>13.08</v>
      </c>
      <c r="H318" s="230">
        <f t="shared" si="36"/>
        <v>16.72</v>
      </c>
      <c r="I318" s="380">
        <f t="shared" si="37"/>
        <v>66.88</v>
      </c>
    </row>
    <row r="319" spans="2:9" ht="38.25" x14ac:dyDescent="0.25">
      <c r="B319" s="379" t="s">
        <v>1341</v>
      </c>
      <c r="C319" s="48">
        <v>93655</v>
      </c>
      <c r="D319" s="49" t="s">
        <v>1321</v>
      </c>
      <c r="E319" s="48" t="s">
        <v>309</v>
      </c>
      <c r="F319" s="207">
        <v>13</v>
      </c>
      <c r="G319" s="229">
        <f t="shared" ref="G319:G320" si="38">G313</f>
        <v>14.15</v>
      </c>
      <c r="H319" s="230">
        <f t="shared" si="36"/>
        <v>18.09</v>
      </c>
      <c r="I319" s="380">
        <f t="shared" si="37"/>
        <v>235.17</v>
      </c>
    </row>
    <row r="320" spans="2:9" ht="25.5" x14ac:dyDescent="0.25">
      <c r="B320" s="379" t="s">
        <v>1342</v>
      </c>
      <c r="C320" s="48">
        <v>93662</v>
      </c>
      <c r="D320" s="49" t="s">
        <v>1323</v>
      </c>
      <c r="E320" s="48" t="s">
        <v>309</v>
      </c>
      <c r="F320" s="207">
        <v>1</v>
      </c>
      <c r="G320" s="229">
        <f t="shared" si="38"/>
        <v>66.209999999999994</v>
      </c>
      <c r="H320" s="230">
        <f t="shared" si="36"/>
        <v>84.66</v>
      </c>
      <c r="I320" s="380">
        <f t="shared" si="37"/>
        <v>84.66</v>
      </c>
    </row>
    <row r="321" spans="2:11" s="15" customFormat="1" ht="25.5" x14ac:dyDescent="0.25">
      <c r="B321" s="379" t="s">
        <v>1343</v>
      </c>
      <c r="C321" s="48">
        <v>93665</v>
      </c>
      <c r="D321" s="49" t="s">
        <v>1332</v>
      </c>
      <c r="E321" s="48" t="s">
        <v>309</v>
      </c>
      <c r="F321" s="207">
        <v>2</v>
      </c>
      <c r="G321" s="229">
        <v>71.760000000000005</v>
      </c>
      <c r="H321" s="230">
        <f t="shared" si="36"/>
        <v>91.75</v>
      </c>
      <c r="I321" s="380">
        <f t="shared" si="37"/>
        <v>183.5</v>
      </c>
      <c r="K321" s="38"/>
    </row>
    <row r="322" spans="2:11" s="15" customFormat="1" ht="25.5" x14ac:dyDescent="0.25">
      <c r="B322" s="379" t="s">
        <v>1344</v>
      </c>
      <c r="C322" s="48">
        <v>101894</v>
      </c>
      <c r="D322" s="49" t="s">
        <v>1334</v>
      </c>
      <c r="E322" s="48" t="s">
        <v>309</v>
      </c>
      <c r="F322" s="207">
        <v>1</v>
      </c>
      <c r="G322" s="229">
        <v>164.85</v>
      </c>
      <c r="H322" s="230">
        <f t="shared" si="36"/>
        <v>210.78</v>
      </c>
      <c r="I322" s="380">
        <f t="shared" si="37"/>
        <v>210.78</v>
      </c>
      <c r="K322" s="38"/>
    </row>
    <row r="323" spans="2:11" s="15" customFormat="1" ht="25.5" x14ac:dyDescent="0.25">
      <c r="B323" s="379" t="s">
        <v>1345</v>
      </c>
      <c r="C323" s="48" t="str">
        <f>'PMA ELE'!B312</f>
        <v>PMA ELE 039</v>
      </c>
      <c r="D323" s="49" t="s">
        <v>1336</v>
      </c>
      <c r="E323" s="48" t="s">
        <v>309</v>
      </c>
      <c r="F323" s="207">
        <v>1</v>
      </c>
      <c r="G323" s="229">
        <f>'PMA ELE'!H318</f>
        <v>264.52999999999997</v>
      </c>
      <c r="H323" s="230">
        <f t="shared" si="36"/>
        <v>338.23</v>
      </c>
      <c r="I323" s="380">
        <f t="shared" si="37"/>
        <v>338.23</v>
      </c>
      <c r="K323" s="38"/>
    </row>
    <row r="324" spans="2:11" s="15" customFormat="1" ht="38.25" x14ac:dyDescent="0.25">
      <c r="B324" s="379" t="s">
        <v>1346</v>
      </c>
      <c r="C324" s="48" t="str">
        <f>'PMA ELE'!B320</f>
        <v>PMA ELE 040</v>
      </c>
      <c r="D324" s="50" t="s">
        <v>1231</v>
      </c>
      <c r="E324" s="48" t="s">
        <v>309</v>
      </c>
      <c r="F324" s="207">
        <v>1</v>
      </c>
      <c r="G324" s="229">
        <f>'PMA ELE'!H326</f>
        <v>226.61</v>
      </c>
      <c r="H324" s="230">
        <f t="shared" si="36"/>
        <v>289.74</v>
      </c>
      <c r="I324" s="380">
        <f t="shared" si="37"/>
        <v>289.74</v>
      </c>
      <c r="K324" s="38"/>
    </row>
    <row r="325" spans="2:11" s="15" customFormat="1" ht="63.75" x14ac:dyDescent="0.25">
      <c r="B325" s="379" t="s">
        <v>1347</v>
      </c>
      <c r="C325" s="48" t="str">
        <f>'PMA ELE'!B280</f>
        <v>PMA ELE 035</v>
      </c>
      <c r="D325" s="49" t="s">
        <v>1338</v>
      </c>
      <c r="E325" s="48" t="s">
        <v>309</v>
      </c>
      <c r="F325" s="207">
        <v>1</v>
      </c>
      <c r="G325" s="229">
        <f>'PMA ELE'!H286</f>
        <v>1234.6500000000001</v>
      </c>
      <c r="H325" s="230">
        <f t="shared" si="36"/>
        <v>1578.62</v>
      </c>
      <c r="I325" s="380">
        <f t="shared" si="37"/>
        <v>1578.62</v>
      </c>
      <c r="K325" s="38"/>
    </row>
    <row r="326" spans="2:11" s="15" customFormat="1" ht="38.25" x14ac:dyDescent="0.25">
      <c r="B326" s="379" t="s">
        <v>1461</v>
      </c>
      <c r="C326" s="48">
        <v>93654</v>
      </c>
      <c r="D326" s="49" t="s">
        <v>1319</v>
      </c>
      <c r="E326" s="48" t="s">
        <v>309</v>
      </c>
      <c r="F326" s="207">
        <v>5</v>
      </c>
      <c r="G326" s="229">
        <v>13.08</v>
      </c>
      <c r="H326" s="230">
        <f t="shared" si="36"/>
        <v>16.72</v>
      </c>
      <c r="I326" s="380">
        <f t="shared" si="37"/>
        <v>83.6</v>
      </c>
      <c r="K326" s="38"/>
    </row>
    <row r="327" spans="2:11" s="15" customFormat="1" ht="38.25" x14ac:dyDescent="0.25">
      <c r="B327" s="379" t="s">
        <v>1462</v>
      </c>
      <c r="C327" s="48">
        <v>93655</v>
      </c>
      <c r="D327" s="49" t="s">
        <v>1321</v>
      </c>
      <c r="E327" s="48" t="s">
        <v>309</v>
      </c>
      <c r="F327" s="207">
        <v>7</v>
      </c>
      <c r="G327" s="229">
        <v>14.15</v>
      </c>
      <c r="H327" s="230">
        <f t="shared" si="36"/>
        <v>18.09</v>
      </c>
      <c r="I327" s="380">
        <f t="shared" si="37"/>
        <v>126.63</v>
      </c>
      <c r="K327" s="38"/>
    </row>
    <row r="328" spans="2:11" s="15" customFormat="1" ht="25.5" x14ac:dyDescent="0.25">
      <c r="B328" s="379" t="s">
        <v>1463</v>
      </c>
      <c r="C328" s="48">
        <v>93662</v>
      </c>
      <c r="D328" s="49" t="s">
        <v>1323</v>
      </c>
      <c r="E328" s="48" t="s">
        <v>309</v>
      </c>
      <c r="F328" s="207">
        <v>2</v>
      </c>
      <c r="G328" s="229">
        <v>66.209999999999994</v>
      </c>
      <c r="H328" s="230">
        <f t="shared" si="36"/>
        <v>84.66</v>
      </c>
      <c r="I328" s="380">
        <f t="shared" si="37"/>
        <v>169.32</v>
      </c>
      <c r="K328" s="38"/>
    </row>
    <row r="329" spans="2:11" s="15" customFormat="1" ht="25.5" x14ac:dyDescent="0.25">
      <c r="B329" s="379" t="s">
        <v>1464</v>
      </c>
      <c r="C329" s="48">
        <v>93672</v>
      </c>
      <c r="D329" s="49" t="s">
        <v>1315</v>
      </c>
      <c r="E329" s="48" t="s">
        <v>309</v>
      </c>
      <c r="F329" s="207">
        <v>1</v>
      </c>
      <c r="G329" s="229">
        <v>92.98</v>
      </c>
      <c r="H329" s="230">
        <f t="shared" si="36"/>
        <v>118.88</v>
      </c>
      <c r="I329" s="380">
        <f t="shared" si="37"/>
        <v>118.88</v>
      </c>
      <c r="K329" s="38"/>
    </row>
    <row r="330" spans="2:11" s="15" customFormat="1" ht="38.25" x14ac:dyDescent="0.25">
      <c r="B330" s="379" t="s">
        <v>1465</v>
      </c>
      <c r="C330" s="48" t="str">
        <f>'PMA ELE'!B336</f>
        <v>PMA ELE 042</v>
      </c>
      <c r="D330" s="50" t="s">
        <v>1204</v>
      </c>
      <c r="E330" s="48" t="s">
        <v>309</v>
      </c>
      <c r="F330" s="207">
        <v>4</v>
      </c>
      <c r="G330" s="229">
        <f>'PMA ELE'!H342</f>
        <v>108.69</v>
      </c>
      <c r="H330" s="230">
        <f t="shared" si="36"/>
        <v>138.97</v>
      </c>
      <c r="I330" s="380">
        <f t="shared" si="37"/>
        <v>555.88</v>
      </c>
      <c r="K330" s="38"/>
    </row>
    <row r="331" spans="2:11" s="15" customFormat="1" ht="38.25" x14ac:dyDescent="0.25">
      <c r="B331" s="379" t="s">
        <v>1466</v>
      </c>
      <c r="C331" s="48" t="str">
        <f>'PMA ELE'!B288</f>
        <v>PMA ELE 036</v>
      </c>
      <c r="D331" s="50" t="s">
        <v>1215</v>
      </c>
      <c r="E331" s="48" t="s">
        <v>309</v>
      </c>
      <c r="F331" s="207">
        <v>1</v>
      </c>
      <c r="G331" s="229">
        <f>'PMA ELE'!H294</f>
        <v>211.02</v>
      </c>
      <c r="H331" s="230">
        <f t="shared" si="36"/>
        <v>269.81</v>
      </c>
      <c r="I331" s="380">
        <f t="shared" si="37"/>
        <v>269.81</v>
      </c>
      <c r="K331" s="38"/>
    </row>
    <row r="332" spans="2:11" s="15" customFormat="1" ht="51" x14ac:dyDescent="0.25">
      <c r="B332" s="379" t="s">
        <v>1467</v>
      </c>
      <c r="C332" s="48">
        <v>101875</v>
      </c>
      <c r="D332" s="49" t="s">
        <v>1626</v>
      </c>
      <c r="E332" s="48" t="s">
        <v>309</v>
      </c>
      <c r="F332" s="207">
        <v>1</v>
      </c>
      <c r="G332" s="229">
        <v>440.11</v>
      </c>
      <c r="H332" s="230">
        <f t="shared" si="36"/>
        <v>562.72</v>
      </c>
      <c r="I332" s="380">
        <f t="shared" si="37"/>
        <v>562.72</v>
      </c>
      <c r="K332" s="38"/>
    </row>
    <row r="333" spans="2:11" s="15" customFormat="1" ht="38.25" x14ac:dyDescent="0.25">
      <c r="B333" s="379" t="s">
        <v>1468</v>
      </c>
      <c r="C333" s="48">
        <v>93655</v>
      </c>
      <c r="D333" s="49" t="s">
        <v>1321</v>
      </c>
      <c r="E333" s="48" t="s">
        <v>309</v>
      </c>
      <c r="F333" s="207">
        <v>8</v>
      </c>
      <c r="G333" s="229">
        <v>14.15</v>
      </c>
      <c r="H333" s="230">
        <f t="shared" si="36"/>
        <v>18.09</v>
      </c>
      <c r="I333" s="380">
        <f t="shared" si="37"/>
        <v>144.72</v>
      </c>
      <c r="K333" s="38"/>
    </row>
    <row r="334" spans="2:11" s="15" customFormat="1" ht="38.25" x14ac:dyDescent="0.25">
      <c r="B334" s="379" t="s">
        <v>1469</v>
      </c>
      <c r="C334" s="48" t="s">
        <v>1641</v>
      </c>
      <c r="D334" s="49" t="s">
        <v>1649</v>
      </c>
      <c r="E334" s="48" t="s">
        <v>309</v>
      </c>
      <c r="F334" s="207">
        <v>5</v>
      </c>
      <c r="G334" s="229">
        <v>64.08</v>
      </c>
      <c r="H334" s="230">
        <f t="shared" si="36"/>
        <v>81.93</v>
      </c>
      <c r="I334" s="380">
        <f t="shared" si="37"/>
        <v>409.65</v>
      </c>
      <c r="K334" s="38"/>
    </row>
    <row r="335" spans="2:11" s="15" customFormat="1" ht="38.25" x14ac:dyDescent="0.25">
      <c r="B335" s="379" t="s">
        <v>1543</v>
      </c>
      <c r="C335" s="48">
        <v>93662</v>
      </c>
      <c r="D335" s="49" t="s">
        <v>1650</v>
      </c>
      <c r="E335" s="48" t="s">
        <v>309</v>
      </c>
      <c r="F335" s="207">
        <v>18</v>
      </c>
      <c r="G335" s="229">
        <v>66.209999999999994</v>
      </c>
      <c r="H335" s="230">
        <f t="shared" si="36"/>
        <v>84.66</v>
      </c>
      <c r="I335" s="380">
        <f t="shared" si="37"/>
        <v>1523.88</v>
      </c>
    </row>
    <row r="336" spans="2:11" s="15" customFormat="1" ht="38.25" x14ac:dyDescent="0.25">
      <c r="B336" s="379" t="s">
        <v>1544</v>
      </c>
      <c r="C336" s="48" t="s">
        <v>1642</v>
      </c>
      <c r="D336" s="49" t="s">
        <v>1651</v>
      </c>
      <c r="E336" s="48" t="s">
        <v>309</v>
      </c>
      <c r="F336" s="207">
        <v>1</v>
      </c>
      <c r="G336" s="229">
        <v>66.209999999999994</v>
      </c>
      <c r="H336" s="230">
        <f t="shared" si="36"/>
        <v>84.66</v>
      </c>
      <c r="I336" s="380">
        <f t="shared" si="37"/>
        <v>84.66</v>
      </c>
    </row>
    <row r="337" spans="2:9" s="15" customFormat="1" ht="102" x14ac:dyDescent="0.25">
      <c r="B337" s="379" t="s">
        <v>1541</v>
      </c>
      <c r="C337" s="48" t="str">
        <f>'PMA ELE'!B351</f>
        <v>PMA ELE 044</v>
      </c>
      <c r="D337" s="49" t="s">
        <v>1239</v>
      </c>
      <c r="E337" s="48" t="s">
        <v>309</v>
      </c>
      <c r="F337" s="207">
        <v>12</v>
      </c>
      <c r="G337" s="229">
        <f>'PMA ELE'!H356</f>
        <v>487.29</v>
      </c>
      <c r="H337" s="230">
        <f t="shared" si="36"/>
        <v>623.04999999999995</v>
      </c>
      <c r="I337" s="380">
        <f t="shared" si="37"/>
        <v>7476.6</v>
      </c>
    </row>
    <row r="338" spans="2:9" s="15" customFormat="1" ht="102" x14ac:dyDescent="0.25">
      <c r="B338" s="379" t="s">
        <v>1542</v>
      </c>
      <c r="C338" s="48" t="str">
        <f>'PMA ELE'!B358</f>
        <v>PMA ELE 045</v>
      </c>
      <c r="D338" s="49" t="s">
        <v>1244</v>
      </c>
      <c r="E338" s="48" t="s">
        <v>309</v>
      </c>
      <c r="F338" s="207">
        <v>71</v>
      </c>
      <c r="G338" s="229">
        <f>'PMA ELE'!H363</f>
        <v>465.24</v>
      </c>
      <c r="H338" s="230">
        <f t="shared" si="36"/>
        <v>594.86</v>
      </c>
      <c r="I338" s="380">
        <f t="shared" si="37"/>
        <v>42235.06</v>
      </c>
    </row>
    <row r="339" spans="2:9" s="15" customFormat="1" ht="89.25" x14ac:dyDescent="0.25">
      <c r="B339" s="379" t="s">
        <v>1629</v>
      </c>
      <c r="C339" s="48" t="str">
        <f>'PMA ELE'!B365</f>
        <v>PMA ELE 046</v>
      </c>
      <c r="D339" s="49" t="s">
        <v>1539</v>
      </c>
      <c r="E339" s="48" t="s">
        <v>309</v>
      </c>
      <c r="F339" s="207">
        <v>12</v>
      </c>
      <c r="G339" s="229">
        <f>'PMA ELE'!H370</f>
        <v>177.26</v>
      </c>
      <c r="H339" s="230">
        <f t="shared" si="36"/>
        <v>226.64</v>
      </c>
      <c r="I339" s="380">
        <f t="shared" si="37"/>
        <v>2719.68</v>
      </c>
    </row>
    <row r="340" spans="2:9" s="15" customFormat="1" ht="191.25" x14ac:dyDescent="0.25">
      <c r="B340" s="379" t="s">
        <v>1630</v>
      </c>
      <c r="C340" s="48" t="str">
        <f>'PMA ELE'!B457</f>
        <v>PMA ELE 053</v>
      </c>
      <c r="D340" s="49" t="s">
        <v>1540</v>
      </c>
      <c r="E340" s="48" t="s">
        <v>309</v>
      </c>
      <c r="F340" s="207">
        <v>18</v>
      </c>
      <c r="G340" s="229">
        <f>'PMA ELE'!H462</f>
        <v>124.13</v>
      </c>
      <c r="H340" s="230">
        <f t="shared" si="36"/>
        <v>158.71</v>
      </c>
      <c r="I340" s="380">
        <f t="shared" si="37"/>
        <v>2856.78</v>
      </c>
    </row>
    <row r="341" spans="2:9" s="15" customFormat="1" ht="38.25" x14ac:dyDescent="0.25">
      <c r="B341" s="379" t="s">
        <v>1631</v>
      </c>
      <c r="C341" s="48">
        <v>97607</v>
      </c>
      <c r="D341" s="50" t="s">
        <v>1348</v>
      </c>
      <c r="E341" s="48" t="s">
        <v>309</v>
      </c>
      <c r="F341" s="207">
        <v>26</v>
      </c>
      <c r="G341" s="229">
        <v>111.97</v>
      </c>
      <c r="H341" s="230">
        <f t="shared" si="36"/>
        <v>143.16</v>
      </c>
      <c r="I341" s="380">
        <f t="shared" si="37"/>
        <v>3722.16</v>
      </c>
    </row>
    <row r="342" spans="2:9" s="15" customFormat="1" ht="38.25" x14ac:dyDescent="0.25">
      <c r="B342" s="379" t="s">
        <v>1632</v>
      </c>
      <c r="C342" s="21" t="str">
        <f>'PMA ELE'!B344</f>
        <v>PMA ELE 043</v>
      </c>
      <c r="D342" s="147" t="s">
        <v>1750</v>
      </c>
      <c r="E342" s="48" t="s">
        <v>309</v>
      </c>
      <c r="F342" s="207">
        <v>1</v>
      </c>
      <c r="G342" s="229">
        <f>'PMA ELE'!H349</f>
        <v>70626.740000000005</v>
      </c>
      <c r="H342" s="230">
        <f t="shared" si="36"/>
        <v>90303.35</v>
      </c>
      <c r="I342" s="380">
        <f t="shared" si="37"/>
        <v>90303.35</v>
      </c>
    </row>
    <row r="343" spans="2:9" s="15" customFormat="1" ht="38.25" x14ac:dyDescent="0.25">
      <c r="B343" s="379" t="s">
        <v>1643</v>
      </c>
      <c r="C343" s="21" t="str">
        <f>'PMA ELE'!B392</f>
        <v>PMA ELE 049</v>
      </c>
      <c r="D343" s="147" t="s">
        <v>1625</v>
      </c>
      <c r="E343" s="48" t="s">
        <v>309</v>
      </c>
      <c r="F343" s="207">
        <v>1</v>
      </c>
      <c r="G343" s="229">
        <f>'PMA ELE'!H406</f>
        <v>2065.56</v>
      </c>
      <c r="H343" s="230">
        <f t="shared" si="36"/>
        <v>2641.03</v>
      </c>
      <c r="I343" s="380">
        <f t="shared" si="37"/>
        <v>2641.03</v>
      </c>
    </row>
    <row r="344" spans="2:9" s="15" customFormat="1" ht="25.5" x14ac:dyDescent="0.25">
      <c r="B344" s="379" t="s">
        <v>1644</v>
      </c>
      <c r="C344" s="21" t="str">
        <f>'PMA ELE'!B408</f>
        <v>PMA ELE 050</v>
      </c>
      <c r="D344" s="147" t="str">
        <f>'PMA ELE'!C408</f>
        <v>POSTE AUXILIAR DE ENERGIA, TRIFÁSICO, COMPLETO COM FERRAGENS E ACESSÓRIOS</v>
      </c>
      <c r="E344" s="48" t="s">
        <v>309</v>
      </c>
      <c r="F344" s="207">
        <v>1</v>
      </c>
      <c r="G344" s="229">
        <f>'PMA ELE'!H433</f>
        <v>10617.38</v>
      </c>
      <c r="H344" s="230">
        <f t="shared" ref="H344" si="39">G344*($F$6+1)</f>
        <v>13575.38</v>
      </c>
      <c r="I344" s="380">
        <f t="shared" si="37"/>
        <v>13575.38</v>
      </c>
    </row>
    <row r="345" spans="2:9" s="15" customFormat="1" x14ac:dyDescent="0.25">
      <c r="B345" s="481" t="s">
        <v>1659</v>
      </c>
      <c r="C345" s="482"/>
      <c r="D345" s="482"/>
      <c r="E345" s="482"/>
      <c r="F345" s="482"/>
      <c r="G345" s="482"/>
      <c r="H345" s="482"/>
      <c r="I345" s="381">
        <f>SUM(I227:I344)</f>
        <v>400674.12</v>
      </c>
    </row>
    <row r="346" spans="2:9" s="15" customFormat="1" x14ac:dyDescent="0.25">
      <c r="B346" s="378" t="s">
        <v>72</v>
      </c>
      <c r="C346" s="339"/>
      <c r="D346" s="343" t="s">
        <v>998</v>
      </c>
      <c r="E346" s="339"/>
      <c r="F346" s="497"/>
      <c r="G346" s="497"/>
      <c r="H346" s="497"/>
      <c r="I346" s="386"/>
    </row>
    <row r="347" spans="2:9" s="15" customFormat="1" ht="38.25" x14ac:dyDescent="0.25">
      <c r="B347" s="379" t="s">
        <v>177</v>
      </c>
      <c r="C347" s="21" t="str">
        <f>'PMA HID'!B172</f>
        <v>PMA HID 020</v>
      </c>
      <c r="D347" s="31" t="s">
        <v>986</v>
      </c>
      <c r="E347" s="48" t="s">
        <v>309</v>
      </c>
      <c r="F347" s="207">
        <f>'MEMO CÁLCULO'!I347</f>
        <v>6</v>
      </c>
      <c r="G347" s="178">
        <f>'PMA HID'!H178</f>
        <v>762.12</v>
      </c>
      <c r="H347" s="44">
        <f t="shared" ref="H347:H375" si="40">G347*($F$6+1)</f>
        <v>974.45</v>
      </c>
      <c r="I347" s="380">
        <f t="shared" ref="I347:I375" si="41">F347*H347</f>
        <v>5846.7</v>
      </c>
    </row>
    <row r="348" spans="2:9" s="15" customFormat="1" x14ac:dyDescent="0.25">
      <c r="B348" s="495" t="s">
        <v>698</v>
      </c>
      <c r="C348" s="447"/>
      <c r="D348" s="447"/>
      <c r="E348" s="447"/>
      <c r="F348" s="447"/>
      <c r="G348" s="447"/>
      <c r="H348" s="447"/>
      <c r="I348" s="496"/>
    </row>
    <row r="349" spans="2:9" s="15" customFormat="1" ht="51" x14ac:dyDescent="0.25">
      <c r="B349" s="379" t="s">
        <v>221</v>
      </c>
      <c r="C349" s="21">
        <v>103836</v>
      </c>
      <c r="D349" s="52" t="s">
        <v>991</v>
      </c>
      <c r="E349" s="48" t="s">
        <v>248</v>
      </c>
      <c r="F349" s="210">
        <v>16</v>
      </c>
      <c r="G349" s="178">
        <v>91.53</v>
      </c>
      <c r="H349" s="44">
        <f t="shared" si="40"/>
        <v>117.03</v>
      </c>
      <c r="I349" s="380">
        <f t="shared" si="41"/>
        <v>1872.48</v>
      </c>
    </row>
    <row r="350" spans="2:9" s="15" customFormat="1" ht="51" x14ac:dyDescent="0.25">
      <c r="B350" s="379" t="s">
        <v>222</v>
      </c>
      <c r="C350" s="21">
        <v>103835</v>
      </c>
      <c r="D350" s="52" t="s">
        <v>990</v>
      </c>
      <c r="E350" s="48" t="s">
        <v>248</v>
      </c>
      <c r="F350" s="210">
        <v>121.8</v>
      </c>
      <c r="G350" s="178">
        <v>58.59</v>
      </c>
      <c r="H350" s="44">
        <f t="shared" si="40"/>
        <v>74.91</v>
      </c>
      <c r="I350" s="380">
        <f t="shared" si="41"/>
        <v>9124.0400000000009</v>
      </c>
    </row>
    <row r="351" spans="2:9" s="15" customFormat="1" ht="51" x14ac:dyDescent="0.25">
      <c r="B351" s="379" t="s">
        <v>223</v>
      </c>
      <c r="C351" s="21">
        <v>103866</v>
      </c>
      <c r="D351" s="52" t="s">
        <v>992</v>
      </c>
      <c r="E351" s="48" t="s">
        <v>309</v>
      </c>
      <c r="F351" s="210">
        <v>4</v>
      </c>
      <c r="G351" s="178">
        <v>33.049999999999997</v>
      </c>
      <c r="H351" s="44">
        <f t="shared" si="40"/>
        <v>42.26</v>
      </c>
      <c r="I351" s="380">
        <f t="shared" si="41"/>
        <v>169.04</v>
      </c>
    </row>
    <row r="352" spans="2:9" s="15" customFormat="1" ht="51" x14ac:dyDescent="0.25">
      <c r="B352" s="379" t="s">
        <v>670</v>
      </c>
      <c r="C352" s="21">
        <v>103865</v>
      </c>
      <c r="D352" s="52" t="s">
        <v>993</v>
      </c>
      <c r="E352" s="48" t="s">
        <v>309</v>
      </c>
      <c r="F352" s="210">
        <v>10</v>
      </c>
      <c r="G352" s="178">
        <v>20.350000000000001</v>
      </c>
      <c r="H352" s="44">
        <f t="shared" si="40"/>
        <v>26.02</v>
      </c>
      <c r="I352" s="380">
        <f t="shared" si="41"/>
        <v>260.2</v>
      </c>
    </row>
    <row r="353" spans="2:9" s="15" customFormat="1" ht="51" x14ac:dyDescent="0.25">
      <c r="B353" s="379" t="s">
        <v>671</v>
      </c>
      <c r="C353" s="21">
        <v>103841</v>
      </c>
      <c r="D353" s="52" t="s">
        <v>995</v>
      </c>
      <c r="E353" s="48" t="s">
        <v>309</v>
      </c>
      <c r="F353" s="210">
        <v>4</v>
      </c>
      <c r="G353" s="178">
        <v>24.99</v>
      </c>
      <c r="H353" s="44">
        <f t="shared" si="40"/>
        <v>31.95</v>
      </c>
      <c r="I353" s="380">
        <f t="shared" si="41"/>
        <v>127.8</v>
      </c>
    </row>
    <row r="354" spans="2:9" s="15" customFormat="1" ht="51" x14ac:dyDescent="0.25">
      <c r="B354" s="379" t="s">
        <v>672</v>
      </c>
      <c r="C354" s="21">
        <v>103856</v>
      </c>
      <c r="D354" s="52" t="s">
        <v>996</v>
      </c>
      <c r="E354" s="48" t="s">
        <v>309</v>
      </c>
      <c r="F354" s="210">
        <v>2</v>
      </c>
      <c r="G354" s="178">
        <v>14.23</v>
      </c>
      <c r="H354" s="44">
        <f t="shared" si="40"/>
        <v>18.190000000000001</v>
      </c>
      <c r="I354" s="380">
        <f t="shared" si="41"/>
        <v>36.380000000000003</v>
      </c>
    </row>
    <row r="355" spans="2:9" s="15" customFormat="1" ht="51" x14ac:dyDescent="0.25">
      <c r="B355" s="379" t="s">
        <v>673</v>
      </c>
      <c r="C355" s="21">
        <v>103838</v>
      </c>
      <c r="D355" s="52" t="s">
        <v>994</v>
      </c>
      <c r="E355" s="48" t="s">
        <v>309</v>
      </c>
      <c r="F355" s="210">
        <v>43</v>
      </c>
      <c r="G355" s="178">
        <v>15.04</v>
      </c>
      <c r="H355" s="44">
        <f t="shared" si="40"/>
        <v>19.23</v>
      </c>
      <c r="I355" s="380">
        <f t="shared" si="41"/>
        <v>826.89</v>
      </c>
    </row>
    <row r="356" spans="2:9" s="15" customFormat="1" ht="25.5" x14ac:dyDescent="0.25">
      <c r="B356" s="379" t="s">
        <v>674</v>
      </c>
      <c r="C356" s="21">
        <v>95249</v>
      </c>
      <c r="D356" s="52" t="s">
        <v>997</v>
      </c>
      <c r="E356" s="48" t="s">
        <v>309</v>
      </c>
      <c r="F356" s="210">
        <v>6</v>
      </c>
      <c r="G356" s="178">
        <v>42.83</v>
      </c>
      <c r="H356" s="44">
        <f t="shared" si="40"/>
        <v>54.76</v>
      </c>
      <c r="I356" s="380">
        <f t="shared" si="41"/>
        <v>328.56</v>
      </c>
    </row>
    <row r="357" spans="2:9" s="15" customFormat="1" x14ac:dyDescent="0.25">
      <c r="B357" s="495" t="s">
        <v>697</v>
      </c>
      <c r="C357" s="447"/>
      <c r="D357" s="447"/>
      <c r="E357" s="447"/>
      <c r="F357" s="447"/>
      <c r="G357" s="447"/>
      <c r="H357" s="447"/>
      <c r="I357" s="496"/>
    </row>
    <row r="358" spans="2:9" s="15" customFormat="1" ht="51" x14ac:dyDescent="0.25">
      <c r="B358" s="379" t="s">
        <v>675</v>
      </c>
      <c r="C358" s="21">
        <f>C349</f>
        <v>103836</v>
      </c>
      <c r="D358" s="52" t="s">
        <v>991</v>
      </c>
      <c r="E358" s="48" t="s">
        <v>248</v>
      </c>
      <c r="F358" s="210">
        <v>16</v>
      </c>
      <c r="G358" s="178">
        <f>G349</f>
        <v>91.53</v>
      </c>
      <c r="H358" s="44">
        <f t="shared" si="40"/>
        <v>117.03</v>
      </c>
      <c r="I358" s="380">
        <f t="shared" si="41"/>
        <v>1872.48</v>
      </c>
    </row>
    <row r="359" spans="2:9" s="15" customFormat="1" ht="51" x14ac:dyDescent="0.25">
      <c r="B359" s="379" t="s">
        <v>676</v>
      </c>
      <c r="C359" s="21">
        <f>C350</f>
        <v>103835</v>
      </c>
      <c r="D359" s="52" t="s">
        <v>990</v>
      </c>
      <c r="E359" s="48" t="s">
        <v>248</v>
      </c>
      <c r="F359" s="210">
        <v>109</v>
      </c>
      <c r="G359" s="178">
        <f>G350</f>
        <v>58.59</v>
      </c>
      <c r="H359" s="44">
        <f t="shared" si="40"/>
        <v>74.91</v>
      </c>
      <c r="I359" s="380">
        <f t="shared" si="41"/>
        <v>8165.19</v>
      </c>
    </row>
    <row r="360" spans="2:9" s="15" customFormat="1" ht="51" x14ac:dyDescent="0.25">
      <c r="B360" s="379" t="s">
        <v>677</v>
      </c>
      <c r="C360" s="21">
        <v>103841</v>
      </c>
      <c r="D360" s="52" t="s">
        <v>995</v>
      </c>
      <c r="E360" s="48" t="s">
        <v>309</v>
      </c>
      <c r="F360" s="210">
        <v>4</v>
      </c>
      <c r="G360" s="178">
        <f>G353</f>
        <v>24.99</v>
      </c>
      <c r="H360" s="44">
        <f t="shared" si="40"/>
        <v>31.95</v>
      </c>
      <c r="I360" s="380">
        <f t="shared" si="41"/>
        <v>127.8</v>
      </c>
    </row>
    <row r="361" spans="2:9" s="15" customFormat="1" ht="51" x14ac:dyDescent="0.25">
      <c r="B361" s="379" t="s">
        <v>678</v>
      </c>
      <c r="C361" s="21">
        <v>103866</v>
      </c>
      <c r="D361" s="52" t="s">
        <v>992</v>
      </c>
      <c r="E361" s="48" t="s">
        <v>309</v>
      </c>
      <c r="F361" s="210">
        <v>4</v>
      </c>
      <c r="G361" s="178">
        <f>G351</f>
        <v>33.049999999999997</v>
      </c>
      <c r="H361" s="44">
        <f t="shared" si="40"/>
        <v>42.26</v>
      </c>
      <c r="I361" s="380">
        <f t="shared" si="41"/>
        <v>169.04</v>
      </c>
    </row>
    <row r="362" spans="2:9" s="15" customFormat="1" ht="51" x14ac:dyDescent="0.25">
      <c r="B362" s="379" t="s">
        <v>679</v>
      </c>
      <c r="C362" s="21">
        <v>103865</v>
      </c>
      <c r="D362" s="52" t="s">
        <v>993</v>
      </c>
      <c r="E362" s="48" t="s">
        <v>309</v>
      </c>
      <c r="F362" s="210">
        <v>10</v>
      </c>
      <c r="G362" s="178">
        <f>G352</f>
        <v>20.350000000000001</v>
      </c>
      <c r="H362" s="44">
        <f t="shared" si="40"/>
        <v>26.02</v>
      </c>
      <c r="I362" s="380">
        <f t="shared" si="41"/>
        <v>260.2</v>
      </c>
    </row>
    <row r="363" spans="2:9" s="15" customFormat="1" ht="51" x14ac:dyDescent="0.25">
      <c r="B363" s="379" t="s">
        <v>680</v>
      </c>
      <c r="C363" s="21">
        <v>103856</v>
      </c>
      <c r="D363" s="52" t="s">
        <v>996</v>
      </c>
      <c r="E363" s="48" t="s">
        <v>309</v>
      </c>
      <c r="F363" s="210">
        <v>2</v>
      </c>
      <c r="G363" s="178">
        <f>G354</f>
        <v>14.23</v>
      </c>
      <c r="H363" s="44">
        <f t="shared" si="40"/>
        <v>18.190000000000001</v>
      </c>
      <c r="I363" s="380">
        <f t="shared" si="41"/>
        <v>36.380000000000003</v>
      </c>
    </row>
    <row r="364" spans="2:9" s="15" customFormat="1" ht="51" x14ac:dyDescent="0.25">
      <c r="B364" s="379" t="s">
        <v>681</v>
      </c>
      <c r="C364" s="21">
        <v>103838</v>
      </c>
      <c r="D364" s="52" t="s">
        <v>994</v>
      </c>
      <c r="E364" s="48" t="s">
        <v>309</v>
      </c>
      <c r="F364" s="210">
        <v>42</v>
      </c>
      <c r="G364" s="178">
        <f>G355</f>
        <v>15.04</v>
      </c>
      <c r="H364" s="44">
        <f t="shared" si="40"/>
        <v>19.23</v>
      </c>
      <c r="I364" s="380">
        <f t="shared" si="41"/>
        <v>807.66</v>
      </c>
    </row>
    <row r="365" spans="2:9" s="15" customFormat="1" ht="25.5" x14ac:dyDescent="0.25">
      <c r="B365" s="379" t="s">
        <v>682</v>
      </c>
      <c r="C365" s="21">
        <v>95249</v>
      </c>
      <c r="D365" s="52" t="s">
        <v>997</v>
      </c>
      <c r="E365" s="48" t="s">
        <v>309</v>
      </c>
      <c r="F365" s="210">
        <v>8</v>
      </c>
      <c r="G365" s="178">
        <f>G356</f>
        <v>42.83</v>
      </c>
      <c r="H365" s="44">
        <f t="shared" si="40"/>
        <v>54.76</v>
      </c>
      <c r="I365" s="380">
        <f t="shared" si="41"/>
        <v>438.08</v>
      </c>
    </row>
    <row r="366" spans="2:9" s="15" customFormat="1" x14ac:dyDescent="0.25">
      <c r="B366" s="495" t="s">
        <v>696</v>
      </c>
      <c r="C366" s="447"/>
      <c r="D366" s="447"/>
      <c r="E366" s="447"/>
      <c r="F366" s="447"/>
      <c r="G366" s="447"/>
      <c r="H366" s="447"/>
      <c r="I366" s="496"/>
    </row>
    <row r="367" spans="2:9" s="15" customFormat="1" ht="25.5" x14ac:dyDescent="0.25">
      <c r="B367" s="379" t="s">
        <v>683</v>
      </c>
      <c r="C367" s="21">
        <v>95249</v>
      </c>
      <c r="D367" s="52" t="s">
        <v>997</v>
      </c>
      <c r="E367" s="48" t="s">
        <v>309</v>
      </c>
      <c r="F367" s="210">
        <v>2</v>
      </c>
      <c r="G367" s="178">
        <f>G365</f>
        <v>42.83</v>
      </c>
      <c r="H367" s="44">
        <f t="shared" si="40"/>
        <v>54.76</v>
      </c>
      <c r="I367" s="380">
        <f t="shared" si="41"/>
        <v>109.52</v>
      </c>
    </row>
    <row r="368" spans="2:9" s="15" customFormat="1" ht="51" x14ac:dyDescent="0.25">
      <c r="B368" s="379" t="s">
        <v>684</v>
      </c>
      <c r="C368" s="21">
        <f>C359</f>
        <v>103835</v>
      </c>
      <c r="D368" s="52" t="s">
        <v>990</v>
      </c>
      <c r="E368" s="48" t="s">
        <v>248</v>
      </c>
      <c r="F368" s="210">
        <v>6</v>
      </c>
      <c r="G368" s="178">
        <f>G359</f>
        <v>58.59</v>
      </c>
      <c r="H368" s="44">
        <f t="shared" si="40"/>
        <v>74.91</v>
      </c>
      <c r="I368" s="380">
        <f t="shared" si="41"/>
        <v>449.46</v>
      </c>
    </row>
    <row r="369" spans="2:11" s="15" customFormat="1" ht="51" x14ac:dyDescent="0.25">
      <c r="B369" s="379" t="s">
        <v>685</v>
      </c>
      <c r="C369" s="21">
        <v>103838</v>
      </c>
      <c r="D369" s="52" t="s">
        <v>994</v>
      </c>
      <c r="E369" s="48" t="s">
        <v>309</v>
      </c>
      <c r="F369" s="210">
        <v>4</v>
      </c>
      <c r="G369" s="178">
        <f>G364</f>
        <v>15.04</v>
      </c>
      <c r="H369" s="44">
        <f t="shared" si="40"/>
        <v>19.23</v>
      </c>
      <c r="I369" s="380">
        <f t="shared" si="41"/>
        <v>76.92</v>
      </c>
    </row>
    <row r="370" spans="2:11" s="15" customFormat="1" x14ac:dyDescent="0.25">
      <c r="B370" s="495" t="s">
        <v>699</v>
      </c>
      <c r="C370" s="447"/>
      <c r="D370" s="447"/>
      <c r="E370" s="447"/>
      <c r="F370" s="447"/>
      <c r="G370" s="447"/>
      <c r="H370" s="447"/>
      <c r="I370" s="496"/>
    </row>
    <row r="371" spans="2:11" s="15" customFormat="1" ht="51" x14ac:dyDescent="0.25">
      <c r="B371" s="379" t="s">
        <v>686</v>
      </c>
      <c r="C371" s="21">
        <v>103835</v>
      </c>
      <c r="D371" s="52" t="s">
        <v>990</v>
      </c>
      <c r="E371" s="48" t="s">
        <v>248</v>
      </c>
      <c r="F371" s="210">
        <v>15</v>
      </c>
      <c r="G371" s="178">
        <f>G368</f>
        <v>58.59</v>
      </c>
      <c r="H371" s="44">
        <f t="shared" si="40"/>
        <v>74.91</v>
      </c>
      <c r="I371" s="380">
        <f t="shared" si="41"/>
        <v>1123.6500000000001</v>
      </c>
    </row>
    <row r="372" spans="2:11" s="15" customFormat="1" ht="51" x14ac:dyDescent="0.25">
      <c r="B372" s="379" t="s">
        <v>687</v>
      </c>
      <c r="C372" s="21">
        <v>103838</v>
      </c>
      <c r="D372" s="52" t="s">
        <v>994</v>
      </c>
      <c r="E372" s="48" t="s">
        <v>309</v>
      </c>
      <c r="F372" s="210">
        <v>6</v>
      </c>
      <c r="G372" s="178">
        <f>G369</f>
        <v>15.04</v>
      </c>
      <c r="H372" s="44">
        <f t="shared" si="40"/>
        <v>19.23</v>
      </c>
      <c r="I372" s="380">
        <f t="shared" si="41"/>
        <v>115.38</v>
      </c>
    </row>
    <row r="373" spans="2:11" s="15" customFormat="1" ht="25.5" x14ac:dyDescent="0.25">
      <c r="B373" s="379" t="s">
        <v>688</v>
      </c>
      <c r="C373" s="21">
        <v>95249</v>
      </c>
      <c r="D373" s="52" t="s">
        <v>997</v>
      </c>
      <c r="E373" s="48" t="s">
        <v>309</v>
      </c>
      <c r="F373" s="210">
        <v>2</v>
      </c>
      <c r="G373" s="178">
        <f>G367</f>
        <v>42.83</v>
      </c>
      <c r="H373" s="44">
        <f t="shared" si="40"/>
        <v>54.76</v>
      </c>
      <c r="I373" s="380">
        <f t="shared" si="41"/>
        <v>109.52</v>
      </c>
    </row>
    <row r="374" spans="2:11" s="15" customFormat="1" ht="38.25" x14ac:dyDescent="0.25">
      <c r="B374" s="379" t="s">
        <v>689</v>
      </c>
      <c r="C374" s="21">
        <v>90444</v>
      </c>
      <c r="D374" s="52" t="s">
        <v>999</v>
      </c>
      <c r="E374" s="48" t="s">
        <v>248</v>
      </c>
      <c r="F374" s="211">
        <v>11.3</v>
      </c>
      <c r="G374" s="178">
        <v>20.59</v>
      </c>
      <c r="H374" s="44">
        <f t="shared" si="40"/>
        <v>26.33</v>
      </c>
      <c r="I374" s="380">
        <f t="shared" si="41"/>
        <v>297.52999999999997</v>
      </c>
    </row>
    <row r="375" spans="2:11" s="15" customFormat="1" ht="38.25" x14ac:dyDescent="0.25">
      <c r="B375" s="379" t="s">
        <v>690</v>
      </c>
      <c r="C375" s="21">
        <v>90468</v>
      </c>
      <c r="D375" s="52" t="s">
        <v>1000</v>
      </c>
      <c r="E375" s="48" t="s">
        <v>248</v>
      </c>
      <c r="F375" s="211">
        <v>11.3</v>
      </c>
      <c r="G375" s="178">
        <v>5.51</v>
      </c>
      <c r="H375" s="44">
        <f t="shared" si="40"/>
        <v>7.05</v>
      </c>
      <c r="I375" s="380">
        <f t="shared" si="41"/>
        <v>79.67</v>
      </c>
    </row>
    <row r="376" spans="2:11" s="15" customFormat="1" x14ac:dyDescent="0.25">
      <c r="B376" s="481" t="s">
        <v>1658</v>
      </c>
      <c r="C376" s="482"/>
      <c r="D376" s="482"/>
      <c r="E376" s="482"/>
      <c r="F376" s="482"/>
      <c r="G376" s="482"/>
      <c r="H376" s="482"/>
      <c r="I376" s="381">
        <f>SUM(I347:I375)</f>
        <v>32830.57</v>
      </c>
    </row>
    <row r="377" spans="2:11" s="15" customFormat="1" x14ac:dyDescent="0.25">
      <c r="B377" s="378" t="s">
        <v>173</v>
      </c>
      <c r="C377" s="339"/>
      <c r="D377" s="343" t="s">
        <v>1470</v>
      </c>
      <c r="E377" s="339"/>
      <c r="F377" s="497"/>
      <c r="G377" s="497"/>
      <c r="H377" s="497"/>
      <c r="I377" s="386"/>
      <c r="K377" s="15" t="s">
        <v>975</v>
      </c>
    </row>
    <row r="378" spans="2:11" s="15" customFormat="1" ht="38.25" x14ac:dyDescent="0.25">
      <c r="B378" s="379" t="s">
        <v>178</v>
      </c>
      <c r="C378" s="153" t="str">
        <f>'PMA CIV'!B42</f>
        <v>PMA CIV 005</v>
      </c>
      <c r="D378" s="24" t="str">
        <f>'PMA CIV'!C42</f>
        <v>CAIXA DE PASSAGEM PARA TELEFONE 20X20X10CM (SOBREPOR), FORNECIMENTO E INSTALACAO. AF_11/2019</v>
      </c>
      <c r="E378" s="153" t="s">
        <v>309</v>
      </c>
      <c r="F378" s="207">
        <f>'MEMO CÁLCULO'!I378</f>
        <v>3</v>
      </c>
      <c r="G378" s="178">
        <f>'PMA CIV'!H47</f>
        <v>51.29</v>
      </c>
      <c r="H378" s="44">
        <f t="shared" ref="H378:H396" si="42">G378*($F$6+1)</f>
        <v>65.58</v>
      </c>
      <c r="I378" s="380">
        <f t="shared" ref="I378:I397" si="43">H378*F378</f>
        <v>196.74</v>
      </c>
      <c r="K378" s="15" t="s">
        <v>975</v>
      </c>
    </row>
    <row r="379" spans="2:11" s="15" customFormat="1" ht="38.25" x14ac:dyDescent="0.25">
      <c r="B379" s="379" t="s">
        <v>179</v>
      </c>
      <c r="C379" s="153">
        <v>100556</v>
      </c>
      <c r="D379" s="24" t="s">
        <v>934</v>
      </c>
      <c r="E379" s="153" t="s">
        <v>309</v>
      </c>
      <c r="F379" s="207">
        <f>'MEMO CÁLCULO'!I379</f>
        <v>2</v>
      </c>
      <c r="G379" s="178">
        <v>40.24</v>
      </c>
      <c r="H379" s="44">
        <f t="shared" si="42"/>
        <v>51.45</v>
      </c>
      <c r="I379" s="380">
        <f t="shared" si="43"/>
        <v>102.9</v>
      </c>
      <c r="K379" s="15" t="s">
        <v>975</v>
      </c>
    </row>
    <row r="380" spans="2:11" s="15" customFormat="1" ht="38.25" x14ac:dyDescent="0.25">
      <c r="B380" s="379" t="s">
        <v>181</v>
      </c>
      <c r="C380" s="21">
        <v>91864</v>
      </c>
      <c r="D380" s="147" t="s">
        <v>1013</v>
      </c>
      <c r="E380" s="153" t="s">
        <v>248</v>
      </c>
      <c r="F380" s="207">
        <f>'MEMO CÁLCULO'!I380</f>
        <v>90</v>
      </c>
      <c r="G380" s="178">
        <v>16.010000000000002</v>
      </c>
      <c r="H380" s="44">
        <f t="shared" si="42"/>
        <v>20.47</v>
      </c>
      <c r="I380" s="380">
        <f t="shared" si="43"/>
        <v>1842.3</v>
      </c>
      <c r="K380" s="15" t="s">
        <v>975</v>
      </c>
    </row>
    <row r="381" spans="2:11" s="15" customFormat="1" ht="38.25" x14ac:dyDescent="0.25">
      <c r="B381" s="379" t="s">
        <v>183</v>
      </c>
      <c r="C381" s="21">
        <v>91876</v>
      </c>
      <c r="D381" s="147" t="s">
        <v>1015</v>
      </c>
      <c r="E381" s="153" t="s">
        <v>309</v>
      </c>
      <c r="F381" s="207">
        <f>'MEMO CÁLCULO'!I381</f>
        <v>30</v>
      </c>
      <c r="G381" s="178">
        <v>7.6</v>
      </c>
      <c r="H381" s="44">
        <f t="shared" si="42"/>
        <v>9.7200000000000006</v>
      </c>
      <c r="I381" s="380">
        <f t="shared" si="43"/>
        <v>291.60000000000002</v>
      </c>
      <c r="K381" s="15" t="s">
        <v>975</v>
      </c>
    </row>
    <row r="382" spans="2:11" s="15" customFormat="1" ht="38.25" x14ac:dyDescent="0.25">
      <c r="B382" s="379" t="s">
        <v>445</v>
      </c>
      <c r="C382" s="21">
        <v>93009</v>
      </c>
      <c r="D382" s="147" t="s">
        <v>1014</v>
      </c>
      <c r="E382" s="153" t="s">
        <v>248</v>
      </c>
      <c r="F382" s="207">
        <f>'MEMO CÁLCULO'!I382</f>
        <v>40</v>
      </c>
      <c r="G382" s="178">
        <v>27.45</v>
      </c>
      <c r="H382" s="44">
        <f t="shared" si="42"/>
        <v>35.1</v>
      </c>
      <c r="I382" s="380">
        <f t="shared" si="43"/>
        <v>1404</v>
      </c>
      <c r="K382" s="15" t="s">
        <v>975</v>
      </c>
    </row>
    <row r="383" spans="2:11" s="15" customFormat="1" ht="51" x14ac:dyDescent="0.25">
      <c r="B383" s="379" t="s">
        <v>446</v>
      </c>
      <c r="C383" s="21">
        <v>93014</v>
      </c>
      <c r="D383" s="147" t="s">
        <v>1016</v>
      </c>
      <c r="E383" s="153" t="s">
        <v>309</v>
      </c>
      <c r="F383" s="207">
        <f>'MEMO CÁLCULO'!I383</f>
        <v>14</v>
      </c>
      <c r="G383" s="178">
        <v>16.37</v>
      </c>
      <c r="H383" s="44">
        <f t="shared" si="42"/>
        <v>20.93</v>
      </c>
      <c r="I383" s="380">
        <f t="shared" si="43"/>
        <v>293.02</v>
      </c>
      <c r="K383" s="15" t="s">
        <v>975</v>
      </c>
    </row>
    <row r="384" spans="2:11" s="15" customFormat="1" ht="25.5" x14ac:dyDescent="0.25">
      <c r="B384" s="379" t="s">
        <v>447</v>
      </c>
      <c r="C384" s="21">
        <v>39179</v>
      </c>
      <c r="D384" s="296" t="s">
        <v>938</v>
      </c>
      <c r="E384" s="348" t="s">
        <v>309</v>
      </c>
      <c r="F384" s="207">
        <f>'MEMO CÁLCULO'!I384</f>
        <v>3</v>
      </c>
      <c r="G384" s="178">
        <v>5.1100000000000003</v>
      </c>
      <c r="H384" s="44">
        <f t="shared" si="42"/>
        <v>6.53</v>
      </c>
      <c r="I384" s="380">
        <f t="shared" si="43"/>
        <v>19.59</v>
      </c>
    </row>
    <row r="385" spans="2:11" ht="38.25" x14ac:dyDescent="0.25">
      <c r="B385" s="379" t="s">
        <v>448</v>
      </c>
      <c r="C385" s="21">
        <v>2489</v>
      </c>
      <c r="D385" s="36" t="s">
        <v>941</v>
      </c>
      <c r="E385" s="348" t="s">
        <v>309</v>
      </c>
      <c r="F385" s="207">
        <f>'MEMO CÁLCULO'!I385</f>
        <v>3</v>
      </c>
      <c r="G385" s="178">
        <v>9.5299999999999994</v>
      </c>
      <c r="H385" s="44">
        <f t="shared" si="42"/>
        <v>12.19</v>
      </c>
      <c r="I385" s="380">
        <f t="shared" si="43"/>
        <v>36.57</v>
      </c>
      <c r="K385" s="38" t="s">
        <v>975</v>
      </c>
    </row>
    <row r="386" spans="2:11" ht="38.25" x14ac:dyDescent="0.25">
      <c r="B386" s="379" t="s">
        <v>449</v>
      </c>
      <c r="C386" s="21">
        <v>2483</v>
      </c>
      <c r="D386" s="36" t="s">
        <v>1017</v>
      </c>
      <c r="E386" s="348" t="s">
        <v>309</v>
      </c>
      <c r="F386" s="207">
        <f>'MEMO CÁLCULO'!I386</f>
        <v>6</v>
      </c>
      <c r="G386" s="178">
        <v>3.92</v>
      </c>
      <c r="H386" s="44">
        <f t="shared" si="42"/>
        <v>5.01</v>
      </c>
      <c r="I386" s="380">
        <f t="shared" si="43"/>
        <v>30.06</v>
      </c>
      <c r="K386" s="38" t="s">
        <v>975</v>
      </c>
    </row>
    <row r="387" spans="2:11" ht="25.5" x14ac:dyDescent="0.25">
      <c r="B387" s="379" t="s">
        <v>450</v>
      </c>
      <c r="C387" s="21">
        <v>39176</v>
      </c>
      <c r="D387" s="296" t="s">
        <v>939</v>
      </c>
      <c r="E387" s="348" t="s">
        <v>309</v>
      </c>
      <c r="F387" s="207">
        <f>'MEMO CÁLCULO'!I387</f>
        <v>6</v>
      </c>
      <c r="G387" s="178">
        <v>1.26</v>
      </c>
      <c r="H387" s="44">
        <f t="shared" si="42"/>
        <v>1.61</v>
      </c>
      <c r="I387" s="385">
        <f t="shared" si="43"/>
        <v>9.66</v>
      </c>
      <c r="K387" s="38" t="s">
        <v>975</v>
      </c>
    </row>
    <row r="388" spans="2:11" ht="25.5" x14ac:dyDescent="0.25">
      <c r="B388" s="379" t="s">
        <v>451</v>
      </c>
      <c r="C388" s="48">
        <v>39213</v>
      </c>
      <c r="D388" s="24" t="s">
        <v>1011</v>
      </c>
      <c r="E388" s="153" t="s">
        <v>309</v>
      </c>
      <c r="F388" s="207">
        <f>'MEMO CÁLCULO'!I388</f>
        <v>6</v>
      </c>
      <c r="G388" s="178">
        <v>2.44</v>
      </c>
      <c r="H388" s="44">
        <f t="shared" si="42"/>
        <v>3.12</v>
      </c>
      <c r="I388" s="380">
        <f t="shared" si="43"/>
        <v>18.72</v>
      </c>
      <c r="K388" s="38" t="s">
        <v>975</v>
      </c>
    </row>
    <row r="389" spans="2:11" ht="25.5" x14ac:dyDescent="0.25">
      <c r="B389" s="379" t="s">
        <v>452</v>
      </c>
      <c r="C389" s="48">
        <v>39210</v>
      </c>
      <c r="D389" s="24" t="s">
        <v>1010</v>
      </c>
      <c r="E389" s="153" t="s">
        <v>309</v>
      </c>
      <c r="F389" s="207">
        <f>'MEMO CÁLCULO'!I389</f>
        <v>14</v>
      </c>
      <c r="G389" s="178">
        <v>0.94</v>
      </c>
      <c r="H389" s="44">
        <f t="shared" si="42"/>
        <v>1.2</v>
      </c>
      <c r="I389" s="380">
        <f t="shared" si="43"/>
        <v>16.8</v>
      </c>
      <c r="K389" s="38" t="s">
        <v>975</v>
      </c>
    </row>
    <row r="390" spans="2:11" ht="25.5" x14ac:dyDescent="0.25">
      <c r="B390" s="379" t="s">
        <v>1018</v>
      </c>
      <c r="C390" s="48">
        <v>39606</v>
      </c>
      <c r="D390" s="24" t="s">
        <v>1007</v>
      </c>
      <c r="E390" s="153" t="s">
        <v>309</v>
      </c>
      <c r="F390" s="207">
        <f>'MEMO CÁLCULO'!I390</f>
        <v>15</v>
      </c>
      <c r="G390" s="178">
        <v>20.57</v>
      </c>
      <c r="H390" s="44">
        <f t="shared" si="42"/>
        <v>26.3</v>
      </c>
      <c r="I390" s="380">
        <f t="shared" si="43"/>
        <v>394.5</v>
      </c>
      <c r="K390" s="38" t="s">
        <v>975</v>
      </c>
    </row>
    <row r="391" spans="2:11" ht="25.5" x14ac:dyDescent="0.25">
      <c r="B391" s="379" t="s">
        <v>453</v>
      </c>
      <c r="C391" s="21">
        <v>98302</v>
      </c>
      <c r="D391" s="147" t="s">
        <v>1005</v>
      </c>
      <c r="E391" s="153" t="s">
        <v>309</v>
      </c>
      <c r="F391" s="207">
        <f>'MEMO CÁLCULO'!I391</f>
        <v>1</v>
      </c>
      <c r="G391" s="178">
        <v>972.13</v>
      </c>
      <c r="H391" s="44">
        <f t="shared" si="42"/>
        <v>1242.97</v>
      </c>
      <c r="I391" s="380">
        <f t="shared" si="43"/>
        <v>1242.97</v>
      </c>
      <c r="K391" s="38" t="s">
        <v>975</v>
      </c>
    </row>
    <row r="392" spans="2:11" ht="51" x14ac:dyDescent="0.25">
      <c r="B392" s="379" t="s">
        <v>454</v>
      </c>
      <c r="C392" s="48" t="str">
        <f>'PMA CIV'!B69</f>
        <v>PMA CIV 009</v>
      </c>
      <c r="D392" s="24" t="s">
        <v>1002</v>
      </c>
      <c r="E392" s="153" t="s">
        <v>248</v>
      </c>
      <c r="F392" s="207">
        <f>'MEMO CÁLCULO'!I392</f>
        <v>65</v>
      </c>
      <c r="G392" s="178">
        <f>'PMA CIV'!H76</f>
        <v>46.04</v>
      </c>
      <c r="H392" s="44">
        <f t="shared" si="42"/>
        <v>58.87</v>
      </c>
      <c r="I392" s="380">
        <f t="shared" si="43"/>
        <v>3826.55</v>
      </c>
      <c r="K392" s="38" t="s">
        <v>975</v>
      </c>
    </row>
    <row r="393" spans="2:11" ht="51" x14ac:dyDescent="0.25">
      <c r="B393" s="379" t="s">
        <v>455</v>
      </c>
      <c r="C393" s="48" t="str">
        <f>'PMA CIV'!B78</f>
        <v>PMA CIV 010</v>
      </c>
      <c r="D393" s="24" t="s">
        <v>1003</v>
      </c>
      <c r="E393" s="153" t="s">
        <v>309</v>
      </c>
      <c r="F393" s="207">
        <f>'MEMO CÁLCULO'!I393</f>
        <v>3</v>
      </c>
      <c r="G393" s="178">
        <f>'PMA CIV'!H87</f>
        <v>82.34</v>
      </c>
      <c r="H393" s="44">
        <f t="shared" si="42"/>
        <v>105.28</v>
      </c>
      <c r="I393" s="380">
        <f t="shared" si="43"/>
        <v>315.83999999999997</v>
      </c>
      <c r="K393" s="38" t="s">
        <v>975</v>
      </c>
    </row>
    <row r="394" spans="2:11" ht="51" x14ac:dyDescent="0.25">
      <c r="B394" s="379" t="s">
        <v>456</v>
      </c>
      <c r="C394" s="48" t="str">
        <f>'PMA CIV'!B89</f>
        <v>PMA CIV 011</v>
      </c>
      <c r="D394" s="24" t="s">
        <v>1004</v>
      </c>
      <c r="E394" s="153" t="s">
        <v>309</v>
      </c>
      <c r="F394" s="207">
        <f>'MEMO CÁLCULO'!I394</f>
        <v>1</v>
      </c>
      <c r="G394" s="178">
        <f>'PMA CIV'!H98</f>
        <v>151.46</v>
      </c>
      <c r="H394" s="44">
        <f t="shared" si="42"/>
        <v>193.66</v>
      </c>
      <c r="I394" s="380">
        <f t="shared" si="43"/>
        <v>193.66</v>
      </c>
      <c r="K394" s="38" t="s">
        <v>975</v>
      </c>
    </row>
    <row r="395" spans="2:11" ht="38.25" x14ac:dyDescent="0.25">
      <c r="B395" s="379" t="s">
        <v>702</v>
      </c>
      <c r="C395" s="21" t="str">
        <f>'PMA CIV'!B100</f>
        <v>PMA CIV 012</v>
      </c>
      <c r="D395" s="36" t="s">
        <v>1073</v>
      </c>
      <c r="E395" s="153" t="s">
        <v>309</v>
      </c>
      <c r="F395" s="207">
        <f>'MEMO CÁLCULO'!I395</f>
        <v>1</v>
      </c>
      <c r="G395" s="178">
        <f>'PMA CIV'!H106</f>
        <v>90.32</v>
      </c>
      <c r="H395" s="44">
        <f t="shared" si="42"/>
        <v>115.48</v>
      </c>
      <c r="I395" s="380">
        <f t="shared" si="43"/>
        <v>115.48</v>
      </c>
    </row>
    <row r="396" spans="2:11" ht="38.25" x14ac:dyDescent="0.25">
      <c r="B396" s="379" t="s">
        <v>703</v>
      </c>
      <c r="C396" s="21">
        <v>95802</v>
      </c>
      <c r="D396" s="147" t="s">
        <v>1072</v>
      </c>
      <c r="E396" s="153" t="s">
        <v>309</v>
      </c>
      <c r="F396" s="207">
        <f>'MEMO CÁLCULO'!I396</f>
        <v>7</v>
      </c>
      <c r="G396" s="178">
        <v>42.37</v>
      </c>
      <c r="H396" s="44">
        <f t="shared" si="42"/>
        <v>54.17</v>
      </c>
      <c r="I396" s="380">
        <f t="shared" si="43"/>
        <v>379.19</v>
      </c>
    </row>
    <row r="397" spans="2:11" ht="38.25" x14ac:dyDescent="0.25">
      <c r="B397" s="379" t="s">
        <v>1358</v>
      </c>
      <c r="C397" s="48">
        <v>98297</v>
      </c>
      <c r="D397" s="24" t="s">
        <v>1019</v>
      </c>
      <c r="E397" s="153" t="s">
        <v>248</v>
      </c>
      <c r="F397" s="207">
        <f>'MEMO CÁLCULO'!I397</f>
        <v>700</v>
      </c>
      <c r="G397" s="178">
        <v>7.01</v>
      </c>
      <c r="H397" s="44">
        <f>G397*($F$6+1)</f>
        <v>8.9600000000000009</v>
      </c>
      <c r="I397" s="380">
        <f t="shared" si="43"/>
        <v>6272</v>
      </c>
    </row>
    <row r="398" spans="2:11" ht="51" x14ac:dyDescent="0.25">
      <c r="B398" s="379" t="s">
        <v>704</v>
      </c>
      <c r="C398" s="153">
        <v>98287</v>
      </c>
      <c r="D398" s="24" t="s">
        <v>1001</v>
      </c>
      <c r="E398" s="153" t="s">
        <v>248</v>
      </c>
      <c r="F398" s="207">
        <f>'MEMO CÁLCULO'!I398</f>
        <v>650</v>
      </c>
      <c r="G398" s="178">
        <v>1.2</v>
      </c>
      <c r="H398" s="44">
        <f>G398*($F$6+1)</f>
        <v>1.53</v>
      </c>
      <c r="I398" s="380">
        <f t="shared" ref="I398:I399" si="44">H398*F398</f>
        <v>994.5</v>
      </c>
    </row>
    <row r="399" spans="2:11" ht="25.5" x14ac:dyDescent="0.25">
      <c r="B399" s="379" t="s">
        <v>705</v>
      </c>
      <c r="C399" s="153">
        <v>98305</v>
      </c>
      <c r="D399" s="24" t="s">
        <v>1006</v>
      </c>
      <c r="E399" s="153" t="s">
        <v>309</v>
      </c>
      <c r="F399" s="207">
        <f>'MEMO CÁLCULO'!I399</f>
        <v>1</v>
      </c>
      <c r="G399" s="178">
        <v>2215.0100000000002</v>
      </c>
      <c r="H399" s="44">
        <f>G399*($F$6+1)</f>
        <v>2832.11</v>
      </c>
      <c r="I399" s="380">
        <f t="shared" si="44"/>
        <v>2832.11</v>
      </c>
    </row>
    <row r="400" spans="2:11" x14ac:dyDescent="0.25">
      <c r="B400" s="481" t="s">
        <v>1657</v>
      </c>
      <c r="C400" s="482"/>
      <c r="D400" s="482"/>
      <c r="E400" s="482"/>
      <c r="F400" s="482"/>
      <c r="G400" s="482"/>
      <c r="H400" s="482"/>
      <c r="I400" s="381">
        <f>SUM(I378:I399)</f>
        <v>20828.759999999998</v>
      </c>
    </row>
    <row r="401" spans="2:9" x14ac:dyDescent="0.25">
      <c r="B401" s="378" t="s">
        <v>191</v>
      </c>
      <c r="C401" s="339"/>
      <c r="D401" s="343" t="s">
        <v>948</v>
      </c>
      <c r="E401" s="339"/>
      <c r="F401" s="497"/>
      <c r="G401" s="497"/>
      <c r="H401" s="497"/>
      <c r="I401" s="386"/>
    </row>
    <row r="402" spans="2:9" ht="38.25" x14ac:dyDescent="0.25">
      <c r="B402" s="379" t="s">
        <v>224</v>
      </c>
      <c r="C402" s="21">
        <v>103244</v>
      </c>
      <c r="D402" s="174" t="s">
        <v>942</v>
      </c>
      <c r="E402" s="175" t="s">
        <v>309</v>
      </c>
      <c r="F402" s="207">
        <f>'MEMO CÁLCULO'!I402</f>
        <v>2</v>
      </c>
      <c r="G402" s="198">
        <v>2342.85</v>
      </c>
      <c r="H402" s="44">
        <f>G402*($F$6+1)</f>
        <v>2995.57</v>
      </c>
      <c r="I402" s="380">
        <f>H402*F402</f>
        <v>5991.14</v>
      </c>
    </row>
    <row r="403" spans="2:9" ht="38.25" x14ac:dyDescent="0.25">
      <c r="B403" s="379" t="s">
        <v>225</v>
      </c>
      <c r="C403" s="21">
        <v>103247</v>
      </c>
      <c r="D403" s="174" t="s">
        <v>943</v>
      </c>
      <c r="E403" s="175" t="s">
        <v>309</v>
      </c>
      <c r="F403" s="207">
        <f>'MEMO CÁLCULO'!I403</f>
        <v>3</v>
      </c>
      <c r="G403" s="198">
        <v>2602.11</v>
      </c>
      <c r="H403" s="44">
        <f t="shared" ref="H403:H406" si="45">G403*($F$6+1)</f>
        <v>3327.06</v>
      </c>
      <c r="I403" s="380">
        <f t="shared" ref="I403:I406" si="46">H403*F403</f>
        <v>9981.18</v>
      </c>
    </row>
    <row r="404" spans="2:9" ht="38.25" x14ac:dyDescent="0.25">
      <c r="B404" s="379" t="s">
        <v>226</v>
      </c>
      <c r="C404" s="21">
        <v>103250</v>
      </c>
      <c r="D404" s="174" t="s">
        <v>944</v>
      </c>
      <c r="E404" s="175" t="s">
        <v>309</v>
      </c>
      <c r="F404" s="207">
        <f>'MEMO CÁLCULO'!I404</f>
        <v>18</v>
      </c>
      <c r="G404" s="198">
        <v>3785.06</v>
      </c>
      <c r="H404" s="44">
        <f t="shared" si="45"/>
        <v>4839.58</v>
      </c>
      <c r="I404" s="380">
        <f t="shared" si="46"/>
        <v>87112.44</v>
      </c>
    </row>
    <row r="405" spans="2:9" ht="38.25" x14ac:dyDescent="0.25">
      <c r="B405" s="379" t="s">
        <v>227</v>
      </c>
      <c r="C405" s="21">
        <v>103253</v>
      </c>
      <c r="D405" s="174" t="s">
        <v>945</v>
      </c>
      <c r="E405" s="175" t="s">
        <v>309</v>
      </c>
      <c r="F405" s="207">
        <f>'MEMO CÁLCULO'!I405</f>
        <v>1</v>
      </c>
      <c r="G405" s="198">
        <v>5165.2299999999996</v>
      </c>
      <c r="H405" s="44">
        <f t="shared" si="45"/>
        <v>6604.26</v>
      </c>
      <c r="I405" s="380">
        <f t="shared" si="46"/>
        <v>6604.26</v>
      </c>
    </row>
    <row r="406" spans="2:9" s="8" customFormat="1" ht="38.25" x14ac:dyDescent="0.2">
      <c r="B406" s="379" t="s">
        <v>778</v>
      </c>
      <c r="C406" s="21">
        <v>89865</v>
      </c>
      <c r="D406" s="174" t="s">
        <v>951</v>
      </c>
      <c r="E406" s="175" t="s">
        <v>248</v>
      </c>
      <c r="F406" s="207">
        <f>'MEMO CÁLCULO'!I406</f>
        <v>120</v>
      </c>
      <c r="G406" s="198">
        <v>15.62</v>
      </c>
      <c r="H406" s="44">
        <f t="shared" si="45"/>
        <v>19.97</v>
      </c>
      <c r="I406" s="380">
        <f t="shared" si="46"/>
        <v>2396.4</v>
      </c>
    </row>
    <row r="407" spans="2:9" x14ac:dyDescent="0.25">
      <c r="B407" s="481" t="s">
        <v>1656</v>
      </c>
      <c r="C407" s="482"/>
      <c r="D407" s="482"/>
      <c r="E407" s="482"/>
      <c r="F407" s="482"/>
      <c r="G407" s="482"/>
      <c r="H407" s="482"/>
      <c r="I407" s="381">
        <f>SUM(I402:I406)</f>
        <v>112085.42</v>
      </c>
    </row>
    <row r="408" spans="2:9" x14ac:dyDescent="0.25">
      <c r="B408" s="378" t="s">
        <v>691</v>
      </c>
      <c r="C408" s="339"/>
      <c r="D408" s="343" t="s">
        <v>769</v>
      </c>
      <c r="E408" s="339"/>
      <c r="F408" s="497"/>
      <c r="G408" s="497"/>
      <c r="H408" s="497"/>
      <c r="I408" s="386"/>
    </row>
    <row r="409" spans="2:9" ht="38.25" x14ac:dyDescent="0.25">
      <c r="B409" s="379" t="s">
        <v>668</v>
      </c>
      <c r="C409" s="48">
        <v>101905</v>
      </c>
      <c r="D409" s="24" t="s">
        <v>954</v>
      </c>
      <c r="E409" s="349" t="s">
        <v>309</v>
      </c>
      <c r="F409" s="207">
        <v>6</v>
      </c>
      <c r="G409" s="178">
        <v>219.8</v>
      </c>
      <c r="H409" s="44">
        <f>G409*($F$6+1)</f>
        <v>281.04000000000002</v>
      </c>
      <c r="I409" s="380">
        <f>F409*H409</f>
        <v>1686.24</v>
      </c>
    </row>
    <row r="410" spans="2:9" ht="38.25" x14ac:dyDescent="0.25">
      <c r="B410" s="379" t="s">
        <v>669</v>
      </c>
      <c r="C410" s="48">
        <v>101907</v>
      </c>
      <c r="D410" s="337" t="s">
        <v>955</v>
      </c>
      <c r="E410" s="349" t="s">
        <v>309</v>
      </c>
      <c r="F410" s="207">
        <v>2</v>
      </c>
      <c r="G410" s="178">
        <v>706.43</v>
      </c>
      <c r="H410" s="44">
        <f>G410*($F$6+1)</f>
        <v>903.24</v>
      </c>
      <c r="I410" s="380">
        <f>F410*H410</f>
        <v>1806.48</v>
      </c>
    </row>
    <row r="411" spans="2:9" ht="38.25" x14ac:dyDescent="0.25">
      <c r="B411" s="379" t="s">
        <v>700</v>
      </c>
      <c r="C411" s="48">
        <v>101908</v>
      </c>
      <c r="D411" s="337" t="s">
        <v>956</v>
      </c>
      <c r="E411" s="349" t="s">
        <v>309</v>
      </c>
      <c r="F411" s="207">
        <v>6</v>
      </c>
      <c r="G411" s="178">
        <v>213.19</v>
      </c>
      <c r="H411" s="44">
        <f>G411*($F$6+1)</f>
        <v>272.58</v>
      </c>
      <c r="I411" s="380">
        <f>F411*H411</f>
        <v>1635.48</v>
      </c>
    </row>
    <row r="412" spans="2:9" ht="51" x14ac:dyDescent="0.25">
      <c r="B412" s="379" t="s">
        <v>701</v>
      </c>
      <c r="C412" s="48">
        <v>37558</v>
      </c>
      <c r="D412" s="337" t="s">
        <v>953</v>
      </c>
      <c r="E412" s="349" t="s">
        <v>309</v>
      </c>
      <c r="F412" s="207">
        <v>22</v>
      </c>
      <c r="G412" s="178">
        <v>49.05</v>
      </c>
      <c r="H412" s="44">
        <f>G412*($F$6+1)</f>
        <v>62.72</v>
      </c>
      <c r="I412" s="380">
        <f>F412*H412</f>
        <v>1379.84</v>
      </c>
    </row>
    <row r="413" spans="2:9" x14ac:dyDescent="0.25">
      <c r="B413" s="481" t="s">
        <v>1655</v>
      </c>
      <c r="C413" s="482"/>
      <c r="D413" s="482"/>
      <c r="E413" s="482"/>
      <c r="F413" s="482"/>
      <c r="G413" s="482"/>
      <c r="H413" s="482"/>
      <c r="I413" s="381">
        <f>SUM(I409:I412)</f>
        <v>6508.04</v>
      </c>
    </row>
    <row r="414" spans="2:9" x14ac:dyDescent="0.25">
      <c r="B414" s="378" t="s">
        <v>706</v>
      </c>
      <c r="C414" s="339"/>
      <c r="D414" s="343" t="s">
        <v>694</v>
      </c>
      <c r="E414" s="339"/>
      <c r="F414" s="497"/>
      <c r="G414" s="497"/>
      <c r="H414" s="497"/>
      <c r="I414" s="386"/>
    </row>
    <row r="415" spans="2:9" ht="25.5" x14ac:dyDescent="0.25">
      <c r="B415" s="379" t="s">
        <v>707</v>
      </c>
      <c r="C415" s="21" t="s">
        <v>487</v>
      </c>
      <c r="D415" s="31" t="s">
        <v>662</v>
      </c>
      <c r="E415" s="48" t="s">
        <v>251</v>
      </c>
      <c r="F415" s="207">
        <f>'MEMO CÁLCULO'!I415</f>
        <v>430.67</v>
      </c>
      <c r="G415" s="178">
        <f>'PMA CIV'!H61</f>
        <v>5.75</v>
      </c>
      <c r="H415" s="44">
        <f>G415*($F$6+1)</f>
        <v>7.35</v>
      </c>
      <c r="I415" s="380">
        <f>H415*F415</f>
        <v>3165.42</v>
      </c>
    </row>
    <row r="416" spans="2:9" ht="25.5" x14ac:dyDescent="0.25">
      <c r="B416" s="379" t="s">
        <v>708</v>
      </c>
      <c r="C416" s="21">
        <v>96622</v>
      </c>
      <c r="D416" s="31" t="s">
        <v>893</v>
      </c>
      <c r="E416" s="48" t="s">
        <v>257</v>
      </c>
      <c r="F416" s="207">
        <f>'MEMO CÁLCULO'!I416</f>
        <v>12.92</v>
      </c>
      <c r="G416" s="178">
        <v>161.65</v>
      </c>
      <c r="H416" s="44">
        <f t="shared" ref="H416:H417" si="47">G416*($F$6+1)</f>
        <v>206.69</v>
      </c>
      <c r="I416" s="380">
        <f t="shared" ref="I416:I417" si="48">H416*F416</f>
        <v>2670.43</v>
      </c>
    </row>
    <row r="417" spans="2:9" ht="51" x14ac:dyDescent="0.25">
      <c r="B417" s="379" t="s">
        <v>709</v>
      </c>
      <c r="C417" s="21">
        <v>94992</v>
      </c>
      <c r="D417" s="31" t="s">
        <v>894</v>
      </c>
      <c r="E417" s="48" t="s">
        <v>251</v>
      </c>
      <c r="F417" s="207">
        <f>'MEMO CÁLCULO'!I417</f>
        <v>51.66</v>
      </c>
      <c r="G417" s="178">
        <v>97.78</v>
      </c>
      <c r="H417" s="44">
        <f t="shared" si="47"/>
        <v>125.02</v>
      </c>
      <c r="I417" s="380">
        <f t="shared" si="48"/>
        <v>6458.53</v>
      </c>
    </row>
    <row r="418" spans="2:9" ht="51" x14ac:dyDescent="0.25">
      <c r="B418" s="379" t="s">
        <v>710</v>
      </c>
      <c r="C418" s="21">
        <v>94990</v>
      </c>
      <c r="D418" s="31" t="s">
        <v>895</v>
      </c>
      <c r="E418" s="48" t="s">
        <v>257</v>
      </c>
      <c r="F418" s="207">
        <f>'MEMO CÁLCULO'!I418</f>
        <v>22.74</v>
      </c>
      <c r="G418" s="178">
        <v>820.78</v>
      </c>
      <c r="H418" s="44">
        <f t="shared" ref="H418:H420" si="49">G418*($F$6+1)</f>
        <v>1049.45</v>
      </c>
      <c r="I418" s="380">
        <f t="shared" ref="I418:I419" si="50">H418*F418</f>
        <v>23864.49</v>
      </c>
    </row>
    <row r="419" spans="2:9" ht="38.25" x14ac:dyDescent="0.25">
      <c r="B419" s="379" t="s">
        <v>771</v>
      </c>
      <c r="C419" s="21">
        <v>102491</v>
      </c>
      <c r="D419" s="31" t="s">
        <v>896</v>
      </c>
      <c r="E419" s="48" t="s">
        <v>251</v>
      </c>
      <c r="F419" s="207">
        <f>'MEMO CÁLCULO'!I419</f>
        <v>430.67</v>
      </c>
      <c r="G419" s="178">
        <v>17.100000000000001</v>
      </c>
      <c r="H419" s="44">
        <f t="shared" si="49"/>
        <v>21.86</v>
      </c>
      <c r="I419" s="380">
        <f t="shared" si="50"/>
        <v>9414.4500000000007</v>
      </c>
    </row>
    <row r="420" spans="2:9" ht="25.5" x14ac:dyDescent="0.25">
      <c r="B420" s="379" t="s">
        <v>772</v>
      </c>
      <c r="C420" s="21">
        <v>97113</v>
      </c>
      <c r="D420" s="31" t="s">
        <v>900</v>
      </c>
      <c r="E420" s="48" t="s">
        <v>251</v>
      </c>
      <c r="F420" s="207">
        <f>'MEMO CÁLCULO'!I420</f>
        <v>488.9</v>
      </c>
      <c r="G420" s="178">
        <v>1.73</v>
      </c>
      <c r="H420" s="44">
        <f t="shared" si="49"/>
        <v>2.21</v>
      </c>
      <c r="I420" s="380">
        <f>H420*F420</f>
        <v>1080.47</v>
      </c>
    </row>
    <row r="421" spans="2:9" x14ac:dyDescent="0.25">
      <c r="B421" s="481" t="s">
        <v>1654</v>
      </c>
      <c r="C421" s="482"/>
      <c r="D421" s="482"/>
      <c r="E421" s="482"/>
      <c r="F421" s="482"/>
      <c r="G421" s="482"/>
      <c r="H421" s="482"/>
      <c r="I421" s="381">
        <f>SUM(I415:I420)</f>
        <v>46653.79</v>
      </c>
    </row>
    <row r="422" spans="2:9" x14ac:dyDescent="0.25">
      <c r="B422" s="378" t="s">
        <v>773</v>
      </c>
      <c r="C422" s="339"/>
      <c r="D422" s="343" t="s">
        <v>73</v>
      </c>
      <c r="E422" s="339"/>
      <c r="F422" s="497"/>
      <c r="G422" s="497"/>
      <c r="H422" s="497"/>
      <c r="I422" s="386"/>
    </row>
    <row r="423" spans="2:9" x14ac:dyDescent="0.25">
      <c r="B423" s="495" t="s">
        <v>15</v>
      </c>
      <c r="C423" s="447"/>
      <c r="D423" s="447"/>
      <c r="E423" s="447"/>
      <c r="F423" s="447"/>
      <c r="G423" s="447"/>
      <c r="H423" s="447"/>
      <c r="I423" s="496"/>
    </row>
    <row r="424" spans="2:9" ht="38.25" x14ac:dyDescent="0.25">
      <c r="B424" s="379" t="s">
        <v>774</v>
      </c>
      <c r="C424" s="21">
        <v>96527</v>
      </c>
      <c r="D424" s="25" t="s">
        <v>871</v>
      </c>
      <c r="E424" s="48" t="s">
        <v>257</v>
      </c>
      <c r="F424" s="207">
        <f>'MEMO CÁLCULO'!I424</f>
        <v>11.92</v>
      </c>
      <c r="G424" s="178">
        <v>103.92</v>
      </c>
      <c r="H424" s="44">
        <f t="shared" ref="H424:H430" si="51">G424*($F$6+1)</f>
        <v>132.87</v>
      </c>
      <c r="I424" s="380">
        <f>H424*F424</f>
        <v>1583.81</v>
      </c>
    </row>
    <row r="425" spans="2:9" ht="25.5" x14ac:dyDescent="0.25">
      <c r="B425" s="379" t="s">
        <v>775</v>
      </c>
      <c r="C425" s="21">
        <v>96620</v>
      </c>
      <c r="D425" s="25" t="s">
        <v>875</v>
      </c>
      <c r="E425" s="48" t="s">
        <v>257</v>
      </c>
      <c r="F425" s="207">
        <f>'MEMO CÁLCULO'!I425</f>
        <v>0.6</v>
      </c>
      <c r="G425" s="178">
        <v>636.48</v>
      </c>
      <c r="H425" s="44">
        <f t="shared" si="51"/>
        <v>813.8</v>
      </c>
      <c r="I425" s="380">
        <f>H425*F425</f>
        <v>488.28</v>
      </c>
    </row>
    <row r="426" spans="2:9" ht="38.25" x14ac:dyDescent="0.25">
      <c r="B426" s="379" t="s">
        <v>776</v>
      </c>
      <c r="C426" s="21">
        <v>94965</v>
      </c>
      <c r="D426" s="25" t="s">
        <v>180</v>
      </c>
      <c r="E426" s="48" t="s">
        <v>257</v>
      </c>
      <c r="F426" s="207">
        <f>'MEMO CÁLCULO'!I426</f>
        <v>5.96</v>
      </c>
      <c r="G426" s="178">
        <v>565.37</v>
      </c>
      <c r="H426" s="44">
        <f t="shared" si="51"/>
        <v>722.88</v>
      </c>
      <c r="I426" s="380">
        <f t="shared" ref="I426:I445" si="52">H426*F426</f>
        <v>4308.3599999999997</v>
      </c>
    </row>
    <row r="427" spans="2:9" ht="38.25" x14ac:dyDescent="0.25">
      <c r="B427" s="379" t="s">
        <v>777</v>
      </c>
      <c r="C427" s="48">
        <v>96543</v>
      </c>
      <c r="D427" s="20" t="s">
        <v>880</v>
      </c>
      <c r="E427" s="48" t="s">
        <v>253</v>
      </c>
      <c r="F427" s="207">
        <f>'MEMO CÁLCULO'!I427</f>
        <v>69.42</v>
      </c>
      <c r="G427" s="178">
        <v>18.559999999999999</v>
      </c>
      <c r="H427" s="44">
        <f t="shared" si="51"/>
        <v>23.73</v>
      </c>
      <c r="I427" s="380">
        <f t="shared" si="52"/>
        <v>1647.34</v>
      </c>
    </row>
    <row r="428" spans="2:9" ht="38.25" x14ac:dyDescent="0.25">
      <c r="B428" s="379" t="s">
        <v>915</v>
      </c>
      <c r="C428" s="48">
        <v>96545</v>
      </c>
      <c r="D428" s="20" t="s">
        <v>288</v>
      </c>
      <c r="E428" s="48" t="s">
        <v>253</v>
      </c>
      <c r="F428" s="207">
        <f>'MEMO CÁLCULO'!I428</f>
        <v>129.5</v>
      </c>
      <c r="G428" s="178">
        <v>16.87</v>
      </c>
      <c r="H428" s="44">
        <f t="shared" si="51"/>
        <v>21.57</v>
      </c>
      <c r="I428" s="380">
        <f t="shared" si="52"/>
        <v>2793.32</v>
      </c>
    </row>
    <row r="429" spans="2:9" ht="38.25" x14ac:dyDescent="0.25">
      <c r="B429" s="379" t="s">
        <v>916</v>
      </c>
      <c r="C429" s="48">
        <v>96536</v>
      </c>
      <c r="D429" s="20" t="s">
        <v>879</v>
      </c>
      <c r="E429" s="48" t="s">
        <v>251</v>
      </c>
      <c r="F429" s="207">
        <f>'MEMO CÁLCULO'!I429</f>
        <v>65.569999999999993</v>
      </c>
      <c r="G429" s="178">
        <v>70.42</v>
      </c>
      <c r="H429" s="44">
        <f t="shared" si="51"/>
        <v>90.04</v>
      </c>
      <c r="I429" s="380">
        <f t="shared" si="52"/>
        <v>5903.92</v>
      </c>
    </row>
    <row r="430" spans="2:9" ht="25.5" x14ac:dyDescent="0.25">
      <c r="B430" s="379" t="s">
        <v>917</v>
      </c>
      <c r="C430" s="48">
        <v>98557</v>
      </c>
      <c r="D430" s="20" t="s">
        <v>892</v>
      </c>
      <c r="E430" s="48" t="s">
        <v>251</v>
      </c>
      <c r="F430" s="207">
        <f>'MEMO CÁLCULO'!I430</f>
        <v>59.61</v>
      </c>
      <c r="G430" s="178">
        <v>74.42</v>
      </c>
      <c r="H430" s="44">
        <f t="shared" si="51"/>
        <v>95.15</v>
      </c>
      <c r="I430" s="380">
        <f t="shared" si="52"/>
        <v>5671.89</v>
      </c>
    </row>
    <row r="431" spans="2:9" x14ac:dyDescent="0.25">
      <c r="B431" s="495" t="s">
        <v>182</v>
      </c>
      <c r="C431" s="447"/>
      <c r="D431" s="447"/>
      <c r="E431" s="447"/>
      <c r="F431" s="447"/>
      <c r="G431" s="447"/>
      <c r="H431" s="447"/>
      <c r="I431" s="496"/>
    </row>
    <row r="432" spans="2:9" ht="38.25" x14ac:dyDescent="0.25">
      <c r="B432" s="379" t="s">
        <v>918</v>
      </c>
      <c r="C432" s="21">
        <v>94965</v>
      </c>
      <c r="D432" s="25" t="s">
        <v>180</v>
      </c>
      <c r="E432" s="48" t="s">
        <v>257</v>
      </c>
      <c r="F432" s="207">
        <f>'MEMO CÁLCULO'!I432</f>
        <v>3.32</v>
      </c>
      <c r="G432" s="178">
        <f>G426</f>
        <v>565.37</v>
      </c>
      <c r="H432" s="44">
        <f>G432*($F$6+1)</f>
        <v>722.88</v>
      </c>
      <c r="I432" s="380">
        <f t="shared" si="52"/>
        <v>2399.96</v>
      </c>
    </row>
    <row r="433" spans="2:9" ht="51" x14ac:dyDescent="0.25">
      <c r="B433" s="379" t="s">
        <v>919</v>
      </c>
      <c r="C433" s="21">
        <v>92427</v>
      </c>
      <c r="D433" s="25" t="s">
        <v>881</v>
      </c>
      <c r="E433" s="48" t="s">
        <v>251</v>
      </c>
      <c r="F433" s="207">
        <f>'MEMO CÁLCULO'!I433</f>
        <v>80.260000000000005</v>
      </c>
      <c r="G433" s="178">
        <v>66.56</v>
      </c>
      <c r="H433" s="44">
        <f t="shared" ref="H433:H435" si="53">G433*($F$6+1)</f>
        <v>85.1</v>
      </c>
      <c r="I433" s="380">
        <f t="shared" si="52"/>
        <v>6830.13</v>
      </c>
    </row>
    <row r="434" spans="2:9" ht="38.25" x14ac:dyDescent="0.25">
      <c r="B434" s="379" t="s">
        <v>920</v>
      </c>
      <c r="C434" s="48">
        <v>92761</v>
      </c>
      <c r="D434" s="20" t="s">
        <v>1021</v>
      </c>
      <c r="E434" s="48" t="s">
        <v>253</v>
      </c>
      <c r="F434" s="207">
        <f>'MEMO CÁLCULO'!I434</f>
        <v>184.92</v>
      </c>
      <c r="G434" s="178">
        <v>15.1</v>
      </c>
      <c r="H434" s="44">
        <f t="shared" si="53"/>
        <v>19.309999999999999</v>
      </c>
      <c r="I434" s="380">
        <f t="shared" si="52"/>
        <v>3570.81</v>
      </c>
    </row>
    <row r="435" spans="2:9" ht="38.25" x14ac:dyDescent="0.25">
      <c r="B435" s="379" t="s">
        <v>921</v>
      </c>
      <c r="C435" s="48">
        <v>92759</v>
      </c>
      <c r="D435" s="20" t="s">
        <v>1020</v>
      </c>
      <c r="E435" s="48" t="s">
        <v>253</v>
      </c>
      <c r="F435" s="207">
        <f>'MEMO CÁLCULO'!I435</f>
        <v>63.08</v>
      </c>
      <c r="G435" s="178">
        <v>15.69</v>
      </c>
      <c r="H435" s="44">
        <f t="shared" si="53"/>
        <v>20.059999999999999</v>
      </c>
      <c r="I435" s="380">
        <f t="shared" si="52"/>
        <v>1265.3800000000001</v>
      </c>
    </row>
    <row r="436" spans="2:9" x14ac:dyDescent="0.25">
      <c r="B436" s="495" t="s">
        <v>877</v>
      </c>
      <c r="C436" s="447"/>
      <c r="D436" s="447"/>
      <c r="E436" s="447"/>
      <c r="F436" s="447"/>
      <c r="G436" s="447"/>
      <c r="H436" s="447"/>
      <c r="I436" s="496"/>
    </row>
    <row r="437" spans="2:9" ht="38.25" x14ac:dyDescent="0.25">
      <c r="B437" s="379" t="s">
        <v>922</v>
      </c>
      <c r="C437" s="21">
        <v>94965</v>
      </c>
      <c r="D437" s="25" t="s">
        <v>180</v>
      </c>
      <c r="E437" s="48" t="s">
        <v>257</v>
      </c>
      <c r="F437" s="207">
        <f>'MEMO CÁLCULO'!I437</f>
        <v>1.46</v>
      </c>
      <c r="G437" s="178">
        <f>G432</f>
        <v>565.37</v>
      </c>
      <c r="H437" s="44">
        <f>G437*($F$6+1)</f>
        <v>722.88</v>
      </c>
      <c r="I437" s="380">
        <f t="shared" ref="I437:I440" si="54">H437*F437</f>
        <v>1055.4000000000001</v>
      </c>
    </row>
    <row r="438" spans="2:9" ht="51" x14ac:dyDescent="0.25">
      <c r="B438" s="379" t="s">
        <v>923</v>
      </c>
      <c r="C438" s="48">
        <v>92476</v>
      </c>
      <c r="D438" s="20" t="s">
        <v>883</v>
      </c>
      <c r="E438" s="48" t="s">
        <v>251</v>
      </c>
      <c r="F438" s="207">
        <f>'MEMO CÁLCULO'!I438</f>
        <v>34.42</v>
      </c>
      <c r="G438" s="178">
        <v>91.29</v>
      </c>
      <c r="H438" s="44">
        <f t="shared" ref="H438:H440" si="55">G438*($F$6+1)</f>
        <v>116.72</v>
      </c>
      <c r="I438" s="380">
        <f t="shared" si="54"/>
        <v>4017.5</v>
      </c>
    </row>
    <row r="439" spans="2:9" ht="38.25" x14ac:dyDescent="0.25">
      <c r="B439" s="379" t="s">
        <v>924</v>
      </c>
      <c r="C439" s="48">
        <v>92761</v>
      </c>
      <c r="D439" s="20" t="s">
        <v>1021</v>
      </c>
      <c r="E439" s="48" t="s">
        <v>253</v>
      </c>
      <c r="F439" s="207">
        <f>'MEMO CÁLCULO'!I439</f>
        <v>129.5</v>
      </c>
      <c r="G439" s="178">
        <f>G434</f>
        <v>15.1</v>
      </c>
      <c r="H439" s="44">
        <f t="shared" si="55"/>
        <v>19.309999999999999</v>
      </c>
      <c r="I439" s="380">
        <f t="shared" si="54"/>
        <v>2500.65</v>
      </c>
    </row>
    <row r="440" spans="2:9" ht="38.25" x14ac:dyDescent="0.25">
      <c r="B440" s="379" t="s">
        <v>925</v>
      </c>
      <c r="C440" s="48">
        <v>92759</v>
      </c>
      <c r="D440" s="20" t="s">
        <v>1020</v>
      </c>
      <c r="E440" s="48" t="s">
        <v>253</v>
      </c>
      <c r="F440" s="207">
        <f>'MEMO CÁLCULO'!I440</f>
        <v>26.39</v>
      </c>
      <c r="G440" s="178">
        <f>G435</f>
        <v>15.69</v>
      </c>
      <c r="H440" s="44">
        <f t="shared" si="55"/>
        <v>20.059999999999999</v>
      </c>
      <c r="I440" s="380">
        <f t="shared" si="54"/>
        <v>529.38</v>
      </c>
    </row>
    <row r="441" spans="2:9" x14ac:dyDescent="0.25">
      <c r="B441" s="495" t="s">
        <v>27</v>
      </c>
      <c r="C441" s="447"/>
      <c r="D441" s="447"/>
      <c r="E441" s="447"/>
      <c r="F441" s="447"/>
      <c r="G441" s="447"/>
      <c r="H441" s="447"/>
      <c r="I441" s="496"/>
    </row>
    <row r="442" spans="2:9" ht="51" x14ac:dyDescent="0.25">
      <c r="B442" s="379" t="s">
        <v>926</v>
      </c>
      <c r="C442" s="21">
        <v>103322</v>
      </c>
      <c r="D442" s="295" t="s">
        <v>1022</v>
      </c>
      <c r="E442" s="48" t="s">
        <v>251</v>
      </c>
      <c r="F442" s="207">
        <f>'MEMO CÁLCULO'!I442</f>
        <v>154.07</v>
      </c>
      <c r="G442" s="178">
        <v>63.68</v>
      </c>
      <c r="H442" s="44">
        <f>G442*($F$6+1)</f>
        <v>81.42</v>
      </c>
      <c r="I442" s="380">
        <f t="shared" si="52"/>
        <v>12544.38</v>
      </c>
    </row>
    <row r="443" spans="2:9" ht="51" x14ac:dyDescent="0.25">
      <c r="B443" s="379" t="s">
        <v>927</v>
      </c>
      <c r="C443" s="21">
        <v>87905</v>
      </c>
      <c r="D443" s="36" t="s">
        <v>889</v>
      </c>
      <c r="E443" s="48" t="s">
        <v>251</v>
      </c>
      <c r="F443" s="207">
        <f>'MEMO CÁLCULO'!I443</f>
        <v>308.14999999999998</v>
      </c>
      <c r="G443" s="178">
        <v>6.96</v>
      </c>
      <c r="H443" s="44">
        <f>G443*($F$6+1)</f>
        <v>8.9</v>
      </c>
      <c r="I443" s="380">
        <f t="shared" si="52"/>
        <v>2742.54</v>
      </c>
    </row>
    <row r="444" spans="2:9" ht="25.5" x14ac:dyDescent="0.25">
      <c r="B444" s="379" t="s">
        <v>928</v>
      </c>
      <c r="C444" s="21">
        <v>88485</v>
      </c>
      <c r="D444" s="36" t="s">
        <v>664</v>
      </c>
      <c r="E444" s="48" t="s">
        <v>251</v>
      </c>
      <c r="F444" s="207">
        <f>'MEMO CÁLCULO'!I444</f>
        <v>308.14999999999998</v>
      </c>
      <c r="G444" s="178">
        <v>2.09</v>
      </c>
      <c r="H444" s="44">
        <f>G444*($F$6+1)</f>
        <v>2.67</v>
      </c>
      <c r="I444" s="380">
        <f t="shared" si="52"/>
        <v>822.76</v>
      </c>
    </row>
    <row r="445" spans="2:9" ht="25.5" x14ac:dyDescent="0.25">
      <c r="B445" s="379" t="s">
        <v>929</v>
      </c>
      <c r="C445" s="21">
        <v>95305</v>
      </c>
      <c r="D445" s="36" t="s">
        <v>891</v>
      </c>
      <c r="E445" s="48" t="s">
        <v>251</v>
      </c>
      <c r="F445" s="207">
        <f>'MEMO CÁLCULO'!I445</f>
        <v>308.14999999999998</v>
      </c>
      <c r="G445" s="178">
        <v>12.83</v>
      </c>
      <c r="H445" s="44">
        <f>G445*($F$6+1)</f>
        <v>16.399999999999999</v>
      </c>
      <c r="I445" s="380">
        <f t="shared" si="52"/>
        <v>5053.66</v>
      </c>
    </row>
    <row r="446" spans="2:9" x14ac:dyDescent="0.25">
      <c r="B446" s="481" t="s">
        <v>1653</v>
      </c>
      <c r="C446" s="482"/>
      <c r="D446" s="482"/>
      <c r="E446" s="482"/>
      <c r="F446" s="482"/>
      <c r="G446" s="482"/>
      <c r="H446" s="482"/>
      <c r="I446" s="381">
        <f>SUM(I424:I445)</f>
        <v>65729.47</v>
      </c>
    </row>
    <row r="447" spans="2:9" x14ac:dyDescent="0.25">
      <c r="B447" s="378" t="s">
        <v>914</v>
      </c>
      <c r="C447" s="339"/>
      <c r="D447" s="343" t="s">
        <v>174</v>
      </c>
      <c r="E447" s="339"/>
      <c r="F447" s="497"/>
      <c r="G447" s="497"/>
      <c r="H447" s="497"/>
      <c r="I447" s="386"/>
    </row>
    <row r="448" spans="2:9" x14ac:dyDescent="0.25">
      <c r="B448" s="379" t="s">
        <v>930</v>
      </c>
      <c r="C448" s="48" t="str">
        <f>'PMA CIV'!B29</f>
        <v>PMA CIV 003</v>
      </c>
      <c r="D448" s="24" t="str">
        <f>'PMA CIV'!C29</f>
        <v>FORNECIMENTO E ESPALHAMENTO DE TERRA VEGETAL</v>
      </c>
      <c r="E448" s="48" t="s">
        <v>257</v>
      </c>
      <c r="F448" s="207">
        <f>'MEMO CÁLCULO'!I448</f>
        <v>14.55</v>
      </c>
      <c r="G448" s="178">
        <f>'PMA CIV'!H33</f>
        <v>171.44</v>
      </c>
      <c r="H448" s="44">
        <f>G448*($F$6+1)</f>
        <v>219.2</v>
      </c>
      <c r="I448" s="380">
        <f>H448*F448</f>
        <v>3189.36</v>
      </c>
    </row>
    <row r="449" spans="2:9" ht="25.5" x14ac:dyDescent="0.25">
      <c r="B449" s="379" t="s">
        <v>931</v>
      </c>
      <c r="C449" s="48" t="str">
        <f>'PMA CIV'!B35</f>
        <v>PMA CIV 004</v>
      </c>
      <c r="D449" s="24" t="str">
        <f>'PMA CIV'!C35</f>
        <v>PLANTIO DE GRAMA ESMERALDA EM PLACAS, INCLUSIVE TRANSPORTE.</v>
      </c>
      <c r="E449" s="48" t="s">
        <v>251</v>
      </c>
      <c r="F449" s="207">
        <f>'MEMO CÁLCULO'!I449</f>
        <v>291.02999999999997</v>
      </c>
      <c r="G449" s="178">
        <f>'PMA CIV'!H40</f>
        <v>33.01</v>
      </c>
      <c r="H449" s="44">
        <f>G449*($F$6+1)</f>
        <v>42.21</v>
      </c>
      <c r="I449" s="380">
        <f>H449*F449</f>
        <v>12284.38</v>
      </c>
    </row>
    <row r="450" spans="2:9" x14ac:dyDescent="0.25">
      <c r="B450" s="379" t="s">
        <v>932</v>
      </c>
      <c r="C450" s="48" t="str">
        <f>'PMA CIV'!B63</f>
        <v>PMA CIV 008</v>
      </c>
      <c r="D450" s="24" t="s">
        <v>654</v>
      </c>
      <c r="E450" s="48" t="s">
        <v>251</v>
      </c>
      <c r="F450" s="207">
        <f>'MEMO CÁLCULO'!I450</f>
        <v>919.57</v>
      </c>
      <c r="G450" s="178">
        <f>'PMA CIV'!H67</f>
        <v>3.3</v>
      </c>
      <c r="H450" s="44">
        <f>G450*($F$6+1)</f>
        <v>4.22</v>
      </c>
      <c r="I450" s="380">
        <f t="shared" ref="I450:I457" si="56">H450*F450</f>
        <v>3880.59</v>
      </c>
    </row>
    <row r="451" spans="2:9" x14ac:dyDescent="0.25">
      <c r="B451" s="481" t="s">
        <v>1652</v>
      </c>
      <c r="C451" s="482"/>
      <c r="D451" s="482"/>
      <c r="E451" s="482"/>
      <c r="F451" s="482"/>
      <c r="G451" s="482"/>
      <c r="H451" s="482"/>
      <c r="I451" s="381">
        <f>I450+I449+I448</f>
        <v>19354.330000000002</v>
      </c>
    </row>
    <row r="452" spans="2:9" x14ac:dyDescent="0.25">
      <c r="B452" s="378" t="s">
        <v>1677</v>
      </c>
      <c r="C452" s="339"/>
      <c r="D452" s="343" t="s">
        <v>1676</v>
      </c>
      <c r="E452" s="339"/>
      <c r="F452" s="497"/>
      <c r="G452" s="497"/>
      <c r="H452" s="497"/>
      <c r="I452" s="386"/>
    </row>
    <row r="453" spans="2:9" ht="38.25" x14ac:dyDescent="0.25">
      <c r="B453" s="379" t="s">
        <v>1678</v>
      </c>
      <c r="C453" s="48">
        <v>95880</v>
      </c>
      <c r="D453" s="24" t="s">
        <v>1671</v>
      </c>
      <c r="E453" s="48" t="s">
        <v>1546</v>
      </c>
      <c r="F453" s="375">
        <f>'MEMO CÁLCULO'!I453</f>
        <v>20096.25</v>
      </c>
      <c r="G453" s="178">
        <v>1.05</v>
      </c>
      <c r="H453" s="44">
        <f t="shared" ref="H453:H456" si="57">G453*($F$6+1)</f>
        <v>1.34</v>
      </c>
      <c r="I453" s="380">
        <f t="shared" si="56"/>
        <v>26928.98</v>
      </c>
    </row>
    <row r="454" spans="2:9" ht="38.25" x14ac:dyDescent="0.25">
      <c r="B454" s="379" t="s">
        <v>1679</v>
      </c>
      <c r="C454" s="48">
        <v>95429</v>
      </c>
      <c r="D454" s="24" t="s">
        <v>1670</v>
      </c>
      <c r="E454" s="48" t="s">
        <v>1546</v>
      </c>
      <c r="F454" s="375">
        <f>'MEMO CÁLCULO'!I454</f>
        <v>100079.33</v>
      </c>
      <c r="G454" s="178">
        <v>1.1599999999999999</v>
      </c>
      <c r="H454" s="44">
        <f t="shared" si="57"/>
        <v>1.48</v>
      </c>
      <c r="I454" s="380">
        <f t="shared" si="56"/>
        <v>148117.41</v>
      </c>
    </row>
    <row r="455" spans="2:9" ht="51" x14ac:dyDescent="0.25">
      <c r="B455" s="379" t="s">
        <v>1680</v>
      </c>
      <c r="C455" s="48">
        <v>100946</v>
      </c>
      <c r="D455" s="24" t="s">
        <v>1635</v>
      </c>
      <c r="E455" s="48" t="s">
        <v>1546</v>
      </c>
      <c r="F455" s="375">
        <f>'MEMO CÁLCULO'!I455</f>
        <v>953.6</v>
      </c>
      <c r="G455" s="178">
        <v>2.27</v>
      </c>
      <c r="H455" s="44">
        <f t="shared" si="57"/>
        <v>2.9</v>
      </c>
      <c r="I455" s="380">
        <f t="shared" si="56"/>
        <v>2765.44</v>
      </c>
    </row>
    <row r="456" spans="2:9" ht="38.25" x14ac:dyDescent="0.25">
      <c r="B456" s="379" t="s">
        <v>1681</v>
      </c>
      <c r="C456" s="48">
        <v>95429</v>
      </c>
      <c r="D456" s="24" t="s">
        <v>1669</v>
      </c>
      <c r="E456" s="48" t="s">
        <v>1546</v>
      </c>
      <c r="F456" s="375">
        <f>'MEMO CÁLCULO'!I456</f>
        <v>42715.199999999997</v>
      </c>
      <c r="G456" s="178">
        <f>G454</f>
        <v>1.1599999999999999</v>
      </c>
      <c r="H456" s="44">
        <f t="shared" si="57"/>
        <v>1.48</v>
      </c>
      <c r="I456" s="380">
        <f t="shared" si="56"/>
        <v>63218.5</v>
      </c>
    </row>
    <row r="457" spans="2:9" ht="38.25" x14ac:dyDescent="0.25">
      <c r="B457" s="379" t="s">
        <v>1682</v>
      </c>
      <c r="C457" s="48">
        <v>95429</v>
      </c>
      <c r="D457" s="24" t="s">
        <v>1672</v>
      </c>
      <c r="E457" s="48" t="s">
        <v>1546</v>
      </c>
      <c r="F457" s="375">
        <f>'MEMO CÁLCULO'!I457</f>
        <v>17913.84</v>
      </c>
      <c r="G457" s="178">
        <f>G455</f>
        <v>2.27</v>
      </c>
      <c r="H457" s="44">
        <f>G457*($F$6+1)</f>
        <v>2.9</v>
      </c>
      <c r="I457" s="380">
        <f t="shared" si="56"/>
        <v>51950.14</v>
      </c>
    </row>
    <row r="458" spans="2:9" x14ac:dyDescent="0.25">
      <c r="B458" s="481" t="s">
        <v>1776</v>
      </c>
      <c r="C458" s="482"/>
      <c r="D458" s="482"/>
      <c r="E458" s="482"/>
      <c r="F458" s="482"/>
      <c r="G458" s="482"/>
      <c r="H458" s="482"/>
      <c r="I458" s="381">
        <f>SUM(I453:I457)</f>
        <v>292980.46999999997</v>
      </c>
    </row>
    <row r="459" spans="2:9" ht="13.5" thickBot="1" x14ac:dyDescent="0.3">
      <c r="B459" s="520" t="s">
        <v>780</v>
      </c>
      <c r="C459" s="521"/>
      <c r="D459" s="521"/>
      <c r="E459" s="521"/>
      <c r="F459" s="521"/>
      <c r="G459" s="521"/>
      <c r="H459" s="521"/>
      <c r="I459" s="387">
        <f>I458+I451+I446+I421+I413+I407+I400+I376+I345+I225+I169+I145+I118+I111+I104+I96+I86+I67+I44+I26+I20</f>
        <v>3496715.07</v>
      </c>
    </row>
    <row r="460" spans="2:9" x14ac:dyDescent="0.25">
      <c r="G460" s="199"/>
    </row>
    <row r="461" spans="2:9" x14ac:dyDescent="0.25">
      <c r="G461" s="199"/>
      <c r="I461" s="199" t="s">
        <v>1774</v>
      </c>
    </row>
    <row r="462" spans="2:9" x14ac:dyDescent="0.25">
      <c r="G462" s="199"/>
    </row>
    <row r="463" spans="2:9" ht="90" customHeight="1" x14ac:dyDescent="0.2">
      <c r="B463" s="396" t="s">
        <v>1773</v>
      </c>
      <c r="C463" s="396"/>
      <c r="D463" s="396"/>
      <c r="E463" s="396"/>
      <c r="F463" s="396"/>
      <c r="G463" s="396"/>
      <c r="H463" s="396"/>
      <c r="I463" s="396"/>
    </row>
    <row r="464" spans="2:9" x14ac:dyDescent="0.25">
      <c r="B464" s="215"/>
      <c r="C464" s="262"/>
      <c r="D464" s="215"/>
      <c r="E464" s="215"/>
      <c r="F464" s="312"/>
      <c r="G464" s="215"/>
      <c r="H464" s="215"/>
      <c r="I464" s="215"/>
    </row>
    <row r="465" spans="2:9" x14ac:dyDescent="0.25">
      <c r="B465" s="215"/>
      <c r="C465" s="262"/>
      <c r="D465" s="215"/>
      <c r="E465" s="215"/>
      <c r="F465" s="312"/>
      <c r="G465" s="215"/>
      <c r="H465" s="215"/>
      <c r="I465" s="215"/>
    </row>
    <row r="466" spans="2:9" x14ac:dyDescent="0.25">
      <c r="G466" s="199"/>
    </row>
    <row r="467" spans="2:9" x14ac:dyDescent="0.25">
      <c r="G467" s="199"/>
    </row>
    <row r="468" spans="2:9" x14ac:dyDescent="0.25">
      <c r="G468" s="199"/>
    </row>
    <row r="469" spans="2:9" x14ac:dyDescent="0.25">
      <c r="G469" s="199"/>
    </row>
    <row r="470" spans="2:9" x14ac:dyDescent="0.25">
      <c r="G470" s="199"/>
    </row>
    <row r="471" spans="2:9" x14ac:dyDescent="0.25">
      <c r="G471" s="199"/>
    </row>
    <row r="472" spans="2:9" x14ac:dyDescent="0.25">
      <c r="G472" s="199"/>
    </row>
    <row r="473" spans="2:9" x14ac:dyDescent="0.25">
      <c r="G473" s="199"/>
    </row>
    <row r="474" spans="2:9" x14ac:dyDescent="0.25">
      <c r="G474" s="199"/>
    </row>
    <row r="475" spans="2:9" x14ac:dyDescent="0.25">
      <c r="G475" s="199"/>
    </row>
    <row r="476" spans="2:9" x14ac:dyDescent="0.25">
      <c r="G476" s="199"/>
    </row>
    <row r="477" spans="2:9" x14ac:dyDescent="0.25">
      <c r="G477" s="199"/>
    </row>
    <row r="478" spans="2:9" x14ac:dyDescent="0.25">
      <c r="G478" s="199"/>
    </row>
    <row r="479" spans="2:9" x14ac:dyDescent="0.25">
      <c r="G479" s="199"/>
    </row>
    <row r="480" spans="2:9" x14ac:dyDescent="0.25">
      <c r="G480" s="199"/>
    </row>
    <row r="481" spans="7:7" x14ac:dyDescent="0.25">
      <c r="G481" s="199"/>
    </row>
    <row r="482" spans="7:7" x14ac:dyDescent="0.25">
      <c r="G482" s="199"/>
    </row>
    <row r="483" spans="7:7" x14ac:dyDescent="0.25">
      <c r="G483" s="199"/>
    </row>
    <row r="484" spans="7:7" x14ac:dyDescent="0.25">
      <c r="G484" s="199"/>
    </row>
    <row r="485" spans="7:7" x14ac:dyDescent="0.25">
      <c r="G485" s="199"/>
    </row>
    <row r="486" spans="7:7" x14ac:dyDescent="0.25">
      <c r="G486" s="199"/>
    </row>
    <row r="487" spans="7:7" x14ac:dyDescent="0.25">
      <c r="G487" s="199"/>
    </row>
    <row r="488" spans="7:7" x14ac:dyDescent="0.25">
      <c r="G488" s="199"/>
    </row>
    <row r="489" spans="7:7" x14ac:dyDescent="0.25">
      <c r="G489" s="199"/>
    </row>
    <row r="490" spans="7:7" x14ac:dyDescent="0.25">
      <c r="G490" s="199"/>
    </row>
    <row r="491" spans="7:7" x14ac:dyDescent="0.25">
      <c r="G491" s="199"/>
    </row>
    <row r="492" spans="7:7" x14ac:dyDescent="0.25">
      <c r="G492" s="199"/>
    </row>
    <row r="493" spans="7:7" x14ac:dyDescent="0.25">
      <c r="G493" s="199"/>
    </row>
    <row r="494" spans="7:7" x14ac:dyDescent="0.25">
      <c r="G494" s="199"/>
    </row>
    <row r="495" spans="7:7" x14ac:dyDescent="0.25">
      <c r="G495" s="199"/>
    </row>
    <row r="496" spans="7:7" x14ac:dyDescent="0.25">
      <c r="G496" s="199"/>
    </row>
    <row r="497" spans="7:7" x14ac:dyDescent="0.25">
      <c r="G497" s="199"/>
    </row>
    <row r="498" spans="7:7" x14ac:dyDescent="0.25">
      <c r="G498" s="199"/>
    </row>
    <row r="499" spans="7:7" x14ac:dyDescent="0.25">
      <c r="G499" s="199"/>
    </row>
    <row r="500" spans="7:7" x14ac:dyDescent="0.25">
      <c r="G500" s="199"/>
    </row>
    <row r="501" spans="7:7" x14ac:dyDescent="0.25">
      <c r="G501" s="199"/>
    </row>
    <row r="502" spans="7:7" x14ac:dyDescent="0.25">
      <c r="G502" s="199"/>
    </row>
    <row r="503" spans="7:7" x14ac:dyDescent="0.25">
      <c r="G503" s="199"/>
    </row>
    <row r="504" spans="7:7" x14ac:dyDescent="0.25">
      <c r="G504" s="199"/>
    </row>
    <row r="505" spans="7:7" x14ac:dyDescent="0.25">
      <c r="G505" s="199"/>
    </row>
    <row r="506" spans="7:7" x14ac:dyDescent="0.25">
      <c r="G506" s="199"/>
    </row>
    <row r="507" spans="7:7" x14ac:dyDescent="0.25">
      <c r="G507" s="199"/>
    </row>
    <row r="508" spans="7:7" x14ac:dyDescent="0.25">
      <c r="G508" s="199"/>
    </row>
    <row r="509" spans="7:7" x14ac:dyDescent="0.25">
      <c r="G509" s="199"/>
    </row>
    <row r="510" spans="7:7" x14ac:dyDescent="0.25">
      <c r="G510" s="199"/>
    </row>
    <row r="511" spans="7:7" x14ac:dyDescent="0.25">
      <c r="G511" s="199"/>
    </row>
    <row r="512" spans="7:7" x14ac:dyDescent="0.25">
      <c r="G512" s="199"/>
    </row>
    <row r="513" spans="7:7" x14ac:dyDescent="0.25">
      <c r="G513" s="199"/>
    </row>
    <row r="514" spans="7:7" x14ac:dyDescent="0.25">
      <c r="G514" s="199"/>
    </row>
    <row r="515" spans="7:7" x14ac:dyDescent="0.25">
      <c r="G515" s="199"/>
    </row>
    <row r="516" spans="7:7" x14ac:dyDescent="0.25">
      <c r="G516" s="199"/>
    </row>
    <row r="517" spans="7:7" x14ac:dyDescent="0.25">
      <c r="G517" s="199"/>
    </row>
    <row r="518" spans="7:7" x14ac:dyDescent="0.25">
      <c r="G518" s="199"/>
    </row>
    <row r="519" spans="7:7" x14ac:dyDescent="0.25">
      <c r="G519" s="199"/>
    </row>
    <row r="520" spans="7:7" x14ac:dyDescent="0.25">
      <c r="G520" s="199"/>
    </row>
    <row r="521" spans="7:7" x14ac:dyDescent="0.25">
      <c r="G521" s="199"/>
    </row>
    <row r="522" spans="7:7" x14ac:dyDescent="0.25">
      <c r="G522" s="199"/>
    </row>
    <row r="523" spans="7:7" x14ac:dyDescent="0.25">
      <c r="G523" s="199"/>
    </row>
    <row r="524" spans="7:7" x14ac:dyDescent="0.25">
      <c r="G524" s="199"/>
    </row>
    <row r="525" spans="7:7" x14ac:dyDescent="0.25">
      <c r="G525" s="199"/>
    </row>
    <row r="526" spans="7:7" x14ac:dyDescent="0.25">
      <c r="G526" s="199"/>
    </row>
    <row r="527" spans="7:7" x14ac:dyDescent="0.25">
      <c r="G527" s="199"/>
    </row>
    <row r="528" spans="7:7" x14ac:dyDescent="0.25">
      <c r="G528" s="199"/>
    </row>
    <row r="529" spans="7:7" x14ac:dyDescent="0.25">
      <c r="G529" s="199"/>
    </row>
    <row r="530" spans="7:7" x14ac:dyDescent="0.25">
      <c r="G530" s="199"/>
    </row>
    <row r="531" spans="7:7" x14ac:dyDescent="0.25">
      <c r="G531" s="199"/>
    </row>
    <row r="532" spans="7:7" x14ac:dyDescent="0.25">
      <c r="G532" s="199"/>
    </row>
    <row r="533" spans="7:7" x14ac:dyDescent="0.25">
      <c r="G533" s="199"/>
    </row>
    <row r="534" spans="7:7" x14ac:dyDescent="0.25">
      <c r="G534" s="199"/>
    </row>
    <row r="535" spans="7:7" x14ac:dyDescent="0.25">
      <c r="G535" s="199"/>
    </row>
    <row r="536" spans="7:7" x14ac:dyDescent="0.25">
      <c r="G536" s="199"/>
    </row>
    <row r="537" spans="7:7" x14ac:dyDescent="0.25">
      <c r="G537" s="199"/>
    </row>
    <row r="538" spans="7:7" x14ac:dyDescent="0.25">
      <c r="G538" s="199"/>
    </row>
    <row r="539" spans="7:7" x14ac:dyDescent="0.25">
      <c r="G539" s="199"/>
    </row>
    <row r="540" spans="7:7" x14ac:dyDescent="0.25">
      <c r="G540" s="199"/>
    </row>
    <row r="541" spans="7:7" x14ac:dyDescent="0.25">
      <c r="G541" s="199"/>
    </row>
    <row r="542" spans="7:7" x14ac:dyDescent="0.25">
      <c r="G542" s="199"/>
    </row>
    <row r="543" spans="7:7" x14ac:dyDescent="0.25">
      <c r="G543" s="199"/>
    </row>
    <row r="544" spans="7:7" x14ac:dyDescent="0.25">
      <c r="G544" s="199"/>
    </row>
    <row r="545" spans="7:7" x14ac:dyDescent="0.25">
      <c r="G545" s="199"/>
    </row>
    <row r="546" spans="7:7" x14ac:dyDescent="0.25">
      <c r="G546" s="199"/>
    </row>
    <row r="547" spans="7:7" x14ac:dyDescent="0.25">
      <c r="G547" s="199"/>
    </row>
    <row r="548" spans="7:7" x14ac:dyDescent="0.25">
      <c r="G548" s="199"/>
    </row>
    <row r="549" spans="7:7" x14ac:dyDescent="0.25">
      <c r="G549" s="199"/>
    </row>
    <row r="550" spans="7:7" x14ac:dyDescent="0.25">
      <c r="G550" s="199"/>
    </row>
    <row r="551" spans="7:7" x14ac:dyDescent="0.25">
      <c r="G551" s="199"/>
    </row>
    <row r="552" spans="7:7" x14ac:dyDescent="0.25">
      <c r="G552" s="199"/>
    </row>
    <row r="553" spans="7:7" x14ac:dyDescent="0.25">
      <c r="G553" s="199"/>
    </row>
    <row r="554" spans="7:7" x14ac:dyDescent="0.25">
      <c r="G554" s="199"/>
    </row>
    <row r="555" spans="7:7" x14ac:dyDescent="0.25">
      <c r="G555" s="199"/>
    </row>
    <row r="556" spans="7:7" x14ac:dyDescent="0.25">
      <c r="G556" s="199"/>
    </row>
    <row r="557" spans="7:7" x14ac:dyDescent="0.25">
      <c r="G557" s="199"/>
    </row>
    <row r="558" spans="7:7" x14ac:dyDescent="0.25">
      <c r="G558" s="199"/>
    </row>
    <row r="559" spans="7:7" x14ac:dyDescent="0.25">
      <c r="G559" s="199"/>
    </row>
    <row r="560" spans="7:7" x14ac:dyDescent="0.25">
      <c r="G560" s="199"/>
    </row>
    <row r="561" spans="7:7" x14ac:dyDescent="0.25">
      <c r="G561" s="199"/>
    </row>
    <row r="562" spans="7:7" x14ac:dyDescent="0.25">
      <c r="G562" s="199"/>
    </row>
    <row r="563" spans="7:7" x14ac:dyDescent="0.25">
      <c r="G563" s="199"/>
    </row>
    <row r="564" spans="7:7" x14ac:dyDescent="0.25">
      <c r="G564" s="199"/>
    </row>
    <row r="565" spans="7:7" x14ac:dyDescent="0.25">
      <c r="G565" s="199"/>
    </row>
    <row r="566" spans="7:7" x14ac:dyDescent="0.25">
      <c r="G566" s="199"/>
    </row>
    <row r="567" spans="7:7" x14ac:dyDescent="0.25">
      <c r="G567" s="199"/>
    </row>
    <row r="568" spans="7:7" x14ac:dyDescent="0.25">
      <c r="G568" s="199"/>
    </row>
    <row r="569" spans="7:7" x14ac:dyDescent="0.25">
      <c r="G569" s="199"/>
    </row>
    <row r="570" spans="7:7" x14ac:dyDescent="0.25">
      <c r="G570" s="199"/>
    </row>
    <row r="571" spans="7:7" x14ac:dyDescent="0.25">
      <c r="G571" s="199"/>
    </row>
    <row r="572" spans="7:7" x14ac:dyDescent="0.25">
      <c r="G572" s="199"/>
    </row>
    <row r="573" spans="7:7" x14ac:dyDescent="0.25">
      <c r="G573" s="199"/>
    </row>
    <row r="574" spans="7:7" x14ac:dyDescent="0.25">
      <c r="G574" s="199"/>
    </row>
    <row r="575" spans="7:7" x14ac:dyDescent="0.25">
      <c r="G575" s="199"/>
    </row>
    <row r="576" spans="7:7" x14ac:dyDescent="0.25">
      <c r="G576" s="199"/>
    </row>
    <row r="577" spans="7:7" x14ac:dyDescent="0.25">
      <c r="G577" s="199"/>
    </row>
    <row r="578" spans="7:7" x14ac:dyDescent="0.25">
      <c r="G578" s="199"/>
    </row>
    <row r="579" spans="7:7" x14ac:dyDescent="0.25">
      <c r="G579" s="199"/>
    </row>
    <row r="580" spans="7:7" x14ac:dyDescent="0.25">
      <c r="G580" s="199"/>
    </row>
    <row r="581" spans="7:7" x14ac:dyDescent="0.25">
      <c r="G581" s="199"/>
    </row>
    <row r="582" spans="7:7" x14ac:dyDescent="0.25">
      <c r="G582" s="199"/>
    </row>
    <row r="583" spans="7:7" x14ac:dyDescent="0.25">
      <c r="G583" s="199"/>
    </row>
    <row r="584" spans="7:7" x14ac:dyDescent="0.25">
      <c r="G584" s="199"/>
    </row>
    <row r="585" spans="7:7" x14ac:dyDescent="0.25">
      <c r="G585" s="199"/>
    </row>
    <row r="586" spans="7:7" x14ac:dyDescent="0.25">
      <c r="G586" s="199"/>
    </row>
    <row r="587" spans="7:7" x14ac:dyDescent="0.25">
      <c r="G587" s="199"/>
    </row>
    <row r="588" spans="7:7" x14ac:dyDescent="0.25">
      <c r="G588" s="199"/>
    </row>
    <row r="589" spans="7:7" x14ac:dyDescent="0.25">
      <c r="G589" s="199"/>
    </row>
    <row r="590" spans="7:7" x14ac:dyDescent="0.25">
      <c r="G590" s="199"/>
    </row>
    <row r="591" spans="7:7" x14ac:dyDescent="0.25">
      <c r="G591" s="199"/>
    </row>
    <row r="592" spans="7:7" x14ac:dyDescent="0.25">
      <c r="G592" s="199"/>
    </row>
    <row r="593" spans="7:7" x14ac:dyDescent="0.25">
      <c r="G593" s="199"/>
    </row>
    <row r="594" spans="7:7" x14ac:dyDescent="0.25">
      <c r="G594" s="199"/>
    </row>
    <row r="595" spans="7:7" x14ac:dyDescent="0.25">
      <c r="G595" s="199"/>
    </row>
    <row r="596" spans="7:7" x14ac:dyDescent="0.25">
      <c r="G596" s="199"/>
    </row>
    <row r="597" spans="7:7" x14ac:dyDescent="0.25">
      <c r="G597" s="199"/>
    </row>
    <row r="598" spans="7:7" x14ac:dyDescent="0.25">
      <c r="G598" s="199"/>
    </row>
    <row r="599" spans="7:7" x14ac:dyDescent="0.25">
      <c r="G599" s="199"/>
    </row>
    <row r="600" spans="7:7" x14ac:dyDescent="0.25">
      <c r="G600" s="199"/>
    </row>
    <row r="601" spans="7:7" x14ac:dyDescent="0.25">
      <c r="G601" s="199"/>
    </row>
    <row r="602" spans="7:7" x14ac:dyDescent="0.25">
      <c r="G602" s="199"/>
    </row>
    <row r="603" spans="7:7" x14ac:dyDescent="0.25">
      <c r="G603" s="199"/>
    </row>
    <row r="604" spans="7:7" x14ac:dyDescent="0.25">
      <c r="G604" s="199"/>
    </row>
    <row r="605" spans="7:7" x14ac:dyDescent="0.25">
      <c r="G605" s="199"/>
    </row>
    <row r="606" spans="7:7" x14ac:dyDescent="0.25">
      <c r="G606" s="199"/>
    </row>
    <row r="607" spans="7:7" x14ac:dyDescent="0.25">
      <c r="G607" s="199"/>
    </row>
    <row r="608" spans="7:7" x14ac:dyDescent="0.25">
      <c r="G608" s="199"/>
    </row>
    <row r="609" spans="7:7" x14ac:dyDescent="0.25">
      <c r="G609" s="199"/>
    </row>
    <row r="610" spans="7:7" x14ac:dyDescent="0.25">
      <c r="G610" s="199"/>
    </row>
    <row r="611" spans="7:7" x14ac:dyDescent="0.25">
      <c r="G611" s="199"/>
    </row>
    <row r="612" spans="7:7" x14ac:dyDescent="0.25">
      <c r="G612" s="199"/>
    </row>
    <row r="613" spans="7:7" x14ac:dyDescent="0.25">
      <c r="G613" s="199"/>
    </row>
  </sheetData>
  <mergeCells count="79">
    <mergeCell ref="B459:H459"/>
    <mergeCell ref="B111:H111"/>
    <mergeCell ref="B169:H169"/>
    <mergeCell ref="B118:H118"/>
    <mergeCell ref="B145:H145"/>
    <mergeCell ref="B370:I370"/>
    <mergeCell ref="B376:H376"/>
    <mergeCell ref="B357:I357"/>
    <mergeCell ref="B366:I366"/>
    <mergeCell ref="B348:I348"/>
    <mergeCell ref="F377:H377"/>
    <mergeCell ref="F401:H401"/>
    <mergeCell ref="F408:H408"/>
    <mergeCell ref="F414:H414"/>
    <mergeCell ref="D170:I170"/>
    <mergeCell ref="D112:I112"/>
    <mergeCell ref="B86:H86"/>
    <mergeCell ref="D87:I87"/>
    <mergeCell ref="B63:I63"/>
    <mergeCell ref="B8:I8"/>
    <mergeCell ref="C6:D6"/>
    <mergeCell ref="F6:G6"/>
    <mergeCell ref="C7:D7"/>
    <mergeCell ref="F7:G7"/>
    <mergeCell ref="B71:I71"/>
    <mergeCell ref="B80:I80"/>
    <mergeCell ref="B56:I56"/>
    <mergeCell ref="B46:I46"/>
    <mergeCell ref="B48:I48"/>
    <mergeCell ref="B9:B10"/>
    <mergeCell ref="B69:I69"/>
    <mergeCell ref="H6:I7"/>
    <mergeCell ref="F5:G5"/>
    <mergeCell ref="C5:D5"/>
    <mergeCell ref="D45:I45"/>
    <mergeCell ref="H4:I5"/>
    <mergeCell ref="C4:G4"/>
    <mergeCell ref="B458:H458"/>
    <mergeCell ref="B400:H400"/>
    <mergeCell ref="B407:H407"/>
    <mergeCell ref="B345:H345"/>
    <mergeCell ref="F346:H346"/>
    <mergeCell ref="F422:H422"/>
    <mergeCell ref="F447:H447"/>
    <mergeCell ref="B446:H446"/>
    <mergeCell ref="B423:I423"/>
    <mergeCell ref="B431:I431"/>
    <mergeCell ref="B441:I441"/>
    <mergeCell ref="B436:I436"/>
    <mergeCell ref="B451:H451"/>
    <mergeCell ref="F452:H452"/>
    <mergeCell ref="B96:H96"/>
    <mergeCell ref="D97:I97"/>
    <mergeCell ref="B104:H104"/>
    <mergeCell ref="B421:H421"/>
    <mergeCell ref="B413:H413"/>
    <mergeCell ref="B225:H225"/>
    <mergeCell ref="D226:I226"/>
    <mergeCell ref="D105:I105"/>
    <mergeCell ref="D119:H119"/>
    <mergeCell ref="B173:I173"/>
    <mergeCell ref="B193:I193"/>
    <mergeCell ref="B216:I216"/>
    <mergeCell ref="B3:I3"/>
    <mergeCell ref="B463:I463"/>
    <mergeCell ref="B44:H44"/>
    <mergeCell ref="B67:H67"/>
    <mergeCell ref="D68:I68"/>
    <mergeCell ref="I9:I10"/>
    <mergeCell ref="D11:I11"/>
    <mergeCell ref="B20:H20"/>
    <mergeCell ref="D21:I21"/>
    <mergeCell ref="B26:H26"/>
    <mergeCell ref="C9:C10"/>
    <mergeCell ref="D9:D10"/>
    <mergeCell ref="E9:E10"/>
    <mergeCell ref="F9:F10"/>
    <mergeCell ref="G9:H9"/>
    <mergeCell ref="D27:I27"/>
  </mergeCells>
  <phoneticPr fontId="24" type="noConversion"/>
  <conditionalFormatting sqref="G402:G404 E402:E406">
    <cfRule type="cellIs" dxfId="601" priority="10" stopIfTrue="1" operator="lessThanOrEqual">
      <formula>0</formula>
    </cfRule>
  </conditionalFormatting>
  <conditionalFormatting sqref="G405:G406">
    <cfRule type="cellIs" dxfId="600" priority="7" stopIfTrue="1" operator="lessThanOrEqual">
      <formula>0</formula>
    </cfRule>
  </conditionalFormatting>
  <pageMargins left="0.25" right="0.25" top="0.75" bottom="0.75" header="0.3" footer="0.3"/>
  <pageSetup paperSize="9" scale="6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3:O129"/>
  <sheetViews>
    <sheetView topLeftCell="A3" zoomScaleNormal="100" zoomScaleSheetLayoutView="100" workbookViewId="0">
      <selection activeCell="B8" sqref="B8:H8"/>
    </sheetView>
  </sheetViews>
  <sheetFormatPr defaultColWidth="9.140625" defaultRowHeight="15" x14ac:dyDescent="0.25"/>
  <cols>
    <col min="1" max="1" width="9.140625" style="15"/>
    <col min="2" max="2" width="14.28515625" style="15" customWidth="1"/>
    <col min="3" max="3" width="12.85546875" style="15" customWidth="1"/>
    <col min="4" max="4" width="60.5703125" style="15" customWidth="1"/>
    <col min="5" max="5" width="9.140625" style="15"/>
    <col min="6" max="6" width="11.85546875" style="37" customWidth="1"/>
    <col min="7" max="7" width="12" style="196" customWidth="1"/>
    <col min="8" max="8" width="13.7109375" style="240" customWidth="1"/>
    <col min="9" max="9" width="1.7109375" style="15" customWidth="1"/>
    <col min="10" max="10" width="2.28515625" style="38" customWidth="1"/>
    <col min="11" max="11" width="2.28515625" customWidth="1"/>
    <col min="12" max="12" width="11.85546875" style="38" bestFit="1" customWidth="1"/>
    <col min="13" max="13" width="67.42578125" style="38" customWidth="1"/>
    <col min="14" max="14" width="14.85546875" style="38" bestFit="1" customWidth="1"/>
    <col min="15" max="15" width="18" style="38" bestFit="1" customWidth="1"/>
    <col min="16" max="16" width="14.42578125" style="15" customWidth="1"/>
    <col min="17" max="17" width="14.85546875" style="15" bestFit="1" customWidth="1"/>
    <col min="18" max="18" width="18" style="15" bestFit="1" customWidth="1"/>
    <col min="19" max="19" width="13.42578125" style="15" customWidth="1"/>
    <col min="20" max="16384" width="9.140625" style="15"/>
  </cols>
  <sheetData>
    <row r="3" spans="2:10" ht="90" customHeight="1" x14ac:dyDescent="0.25">
      <c r="B3" s="526" t="str">
        <f>'PLANILHA ORÇAMENTÁRIA'!B3</f>
        <v>PREFEITURA MUNICIPAL DE ARIPUANÃ - MT
DEPARTAMENTO DE ENGENHARIA CIVIL
Praça São Francisco de Assis, 128, Caixa Postal 91 – CEP 78.325-000, 
Aripuanã – MT, Fone : (66) 3565 – 3900
www.aripuana.mt.gov.br</v>
      </c>
      <c r="C3" s="526"/>
      <c r="D3" s="526"/>
      <c r="E3" s="526"/>
      <c r="F3" s="526"/>
      <c r="G3" s="526"/>
      <c r="H3" s="526"/>
    </row>
    <row r="4" spans="2:10" x14ac:dyDescent="0.25">
      <c r="B4" s="355" t="str">
        <f>'PMA ESQ'!B4</f>
        <v>OBRA:</v>
      </c>
      <c r="C4" s="538" t="str">
        <f>'PMA ESQ'!C4:D4</f>
        <v>RECONSTRUÇÃO DA UNIDADE BÁSICA DE SAÚDE DO DISTRITO DE CONSELVAN</v>
      </c>
      <c r="D4" s="538"/>
      <c r="E4" s="538"/>
      <c r="F4" s="539" t="str">
        <f>'PMA ESQ'!F4</f>
        <v>Coordenadas: 9°55'38"S 59°54'55"W</v>
      </c>
      <c r="G4" s="539"/>
      <c r="H4" s="539"/>
    </row>
    <row r="5" spans="2:10" x14ac:dyDescent="0.25">
      <c r="B5" s="53" t="str">
        <f>'PMA ESQ'!B5</f>
        <v>LOCAL:</v>
      </c>
      <c r="C5" s="538" t="str">
        <f>'PMA ESQ'!C5:D5</f>
        <v>RUA GUARANTÃ, S/N, DISTRITO DE CONSELVAN, ARIPUANÃ - MT</v>
      </c>
      <c r="D5" s="538"/>
      <c r="E5" s="538"/>
      <c r="F5" s="539"/>
      <c r="G5" s="539"/>
      <c r="H5" s="539"/>
    </row>
    <row r="6" spans="2:10" x14ac:dyDescent="0.25">
      <c r="B6" s="53" t="str">
        <f>'PMA ESQ'!B6</f>
        <v>PROP.:</v>
      </c>
      <c r="C6" s="531" t="str">
        <f>'PMA ESQ'!C6:D6</f>
        <v>PREFEITURA MUNICIPAL DE ARIPUANÃ</v>
      </c>
      <c r="D6" s="532"/>
      <c r="E6" s="54" t="s">
        <v>44</v>
      </c>
      <c r="F6" s="297">
        <f>'MEMO CÁLCULO'!G7</f>
        <v>45020</v>
      </c>
      <c r="G6" s="193" t="s">
        <v>45</v>
      </c>
      <c r="H6" s="356">
        <f>BDI!D20</f>
        <v>0.27860000000000001</v>
      </c>
    </row>
    <row r="7" spans="2:10" ht="15.75" thickBot="1" x14ac:dyDescent="0.3">
      <c r="B7" s="390" t="str">
        <f>'PMA ESQ'!B7</f>
        <v>VALOR:</v>
      </c>
      <c r="C7" s="533">
        <f>'PLANILHA ORÇAMENTÁRIA'!C7</f>
        <v>3496715.07</v>
      </c>
      <c r="D7" s="534"/>
      <c r="E7" s="81" t="s">
        <v>264</v>
      </c>
      <c r="F7" s="527" t="str">
        <f>'PLANILHA ORÇAMENTÁRIA'!H6</f>
        <v xml:space="preserve">REF.: SINAPI FEV/2023 (DESONERADA)                                      </v>
      </c>
      <c r="G7" s="528"/>
      <c r="H7" s="529"/>
    </row>
    <row r="8" spans="2:10" ht="19.5" thickBot="1" x14ac:dyDescent="0.3">
      <c r="B8" s="535" t="s">
        <v>46</v>
      </c>
      <c r="C8" s="536"/>
      <c r="D8" s="536"/>
      <c r="E8" s="536"/>
      <c r="F8" s="536"/>
      <c r="G8" s="536"/>
      <c r="H8" s="537"/>
    </row>
    <row r="9" spans="2:10" x14ac:dyDescent="0.25">
      <c r="B9" s="530" t="s">
        <v>484</v>
      </c>
      <c r="C9" s="530" t="s">
        <v>1753</v>
      </c>
      <c r="D9" s="530"/>
      <c r="E9" s="530"/>
      <c r="F9" s="530"/>
      <c r="G9" s="530"/>
      <c r="H9" s="182" t="s">
        <v>251</v>
      </c>
      <c r="J9" s="148"/>
    </row>
    <row r="10" spans="2:10" x14ac:dyDescent="0.25">
      <c r="B10" s="523"/>
      <c r="C10" s="56" t="s">
        <v>233</v>
      </c>
      <c r="D10" s="57" t="s">
        <v>234</v>
      </c>
      <c r="E10" s="57" t="s">
        <v>47</v>
      </c>
      <c r="F10" s="57" t="s">
        <v>37</v>
      </c>
      <c r="G10" s="58" t="s">
        <v>48</v>
      </c>
      <c r="H10" s="58" t="s">
        <v>235</v>
      </c>
      <c r="J10" s="148"/>
    </row>
    <row r="11" spans="2:10" ht="25.5" x14ac:dyDescent="0.25">
      <c r="B11" s="27" t="s">
        <v>49</v>
      </c>
      <c r="C11" s="27">
        <v>4417</v>
      </c>
      <c r="D11" s="34" t="s">
        <v>247</v>
      </c>
      <c r="E11" s="27" t="s">
        <v>248</v>
      </c>
      <c r="F11" s="82">
        <v>1</v>
      </c>
      <c r="G11" s="62">
        <v>6.39</v>
      </c>
      <c r="H11" s="83">
        <f t="shared" ref="H11:H17" si="0">G11*F11</f>
        <v>6.39</v>
      </c>
      <c r="J11" s="148"/>
    </row>
    <row r="12" spans="2:10" ht="25.5" x14ac:dyDescent="0.25">
      <c r="B12" s="27" t="s">
        <v>49</v>
      </c>
      <c r="C12" s="27">
        <v>4491</v>
      </c>
      <c r="D12" s="34" t="s">
        <v>249</v>
      </c>
      <c r="E12" s="27" t="s">
        <v>248</v>
      </c>
      <c r="F12" s="84">
        <v>4</v>
      </c>
      <c r="G12" s="62">
        <v>12.95</v>
      </c>
      <c r="H12" s="83">
        <f t="shared" si="0"/>
        <v>51.8</v>
      </c>
      <c r="J12" s="148"/>
    </row>
    <row r="13" spans="2:10" ht="25.5" x14ac:dyDescent="0.25">
      <c r="B13" s="27" t="s">
        <v>49</v>
      </c>
      <c r="C13" s="27">
        <v>4813</v>
      </c>
      <c r="D13" s="34" t="s">
        <v>250</v>
      </c>
      <c r="E13" s="27" t="s">
        <v>251</v>
      </c>
      <c r="F13" s="84">
        <v>1</v>
      </c>
      <c r="G13" s="62">
        <v>275</v>
      </c>
      <c r="H13" s="83">
        <f t="shared" si="0"/>
        <v>275</v>
      </c>
      <c r="J13" s="148"/>
    </row>
    <row r="14" spans="2:10" x14ac:dyDescent="0.25">
      <c r="B14" s="27" t="s">
        <v>49</v>
      </c>
      <c r="C14" s="27">
        <v>5075</v>
      </c>
      <c r="D14" s="34" t="s">
        <v>252</v>
      </c>
      <c r="E14" s="27" t="s">
        <v>253</v>
      </c>
      <c r="F14" s="27">
        <v>0.11</v>
      </c>
      <c r="G14" s="62">
        <v>25.41</v>
      </c>
      <c r="H14" s="83">
        <f t="shared" si="0"/>
        <v>2.8</v>
      </c>
      <c r="J14" s="148"/>
    </row>
    <row r="15" spans="2:10" x14ac:dyDescent="0.25">
      <c r="B15" s="27" t="s">
        <v>50</v>
      </c>
      <c r="C15" s="27">
        <v>88262</v>
      </c>
      <c r="D15" s="34" t="s">
        <v>254</v>
      </c>
      <c r="E15" s="27" t="s">
        <v>54</v>
      </c>
      <c r="F15" s="84">
        <v>1</v>
      </c>
      <c r="G15" s="62">
        <v>21.48</v>
      </c>
      <c r="H15" s="83">
        <f t="shared" si="0"/>
        <v>21.48</v>
      </c>
      <c r="J15" s="148"/>
    </row>
    <row r="16" spans="2:10" x14ac:dyDescent="0.25">
      <c r="B16" s="27" t="s">
        <v>50</v>
      </c>
      <c r="C16" s="27">
        <v>88316</v>
      </c>
      <c r="D16" s="34" t="s">
        <v>255</v>
      </c>
      <c r="E16" s="27" t="s">
        <v>54</v>
      </c>
      <c r="F16" s="84">
        <v>2</v>
      </c>
      <c r="G16" s="62">
        <v>17.420000000000002</v>
      </c>
      <c r="H16" s="83">
        <f t="shared" si="0"/>
        <v>34.840000000000003</v>
      </c>
      <c r="J16" s="148"/>
    </row>
    <row r="17" spans="2:10" ht="38.25" x14ac:dyDescent="0.25">
      <c r="B17" s="27" t="s">
        <v>50</v>
      </c>
      <c r="C17" s="27">
        <v>94962</v>
      </c>
      <c r="D17" s="34" t="s">
        <v>256</v>
      </c>
      <c r="E17" s="27" t="s">
        <v>257</v>
      </c>
      <c r="F17" s="27">
        <v>0.01</v>
      </c>
      <c r="G17" s="62">
        <v>436.22</v>
      </c>
      <c r="H17" s="83">
        <f t="shared" si="0"/>
        <v>4.3600000000000003</v>
      </c>
      <c r="J17" s="148"/>
    </row>
    <row r="18" spans="2:10" x14ac:dyDescent="0.25">
      <c r="B18" s="524" t="s">
        <v>292</v>
      </c>
      <c r="C18" s="524"/>
      <c r="D18" s="524"/>
      <c r="E18" s="159"/>
      <c r="F18" s="159"/>
      <c r="G18" s="160" t="s">
        <v>5</v>
      </c>
      <c r="H18" s="242">
        <f>SUM(H11:H17)</f>
        <v>396.67</v>
      </c>
      <c r="J18" s="148" t="s">
        <v>962</v>
      </c>
    </row>
    <row r="19" spans="2:10" x14ac:dyDescent="0.25">
      <c r="B19" s="522"/>
      <c r="C19" s="522"/>
      <c r="D19" s="522"/>
      <c r="E19" s="522"/>
      <c r="F19" s="522"/>
      <c r="G19" s="522"/>
      <c r="H19" s="522"/>
      <c r="J19" s="148"/>
    </row>
    <row r="20" spans="2:10" ht="27" customHeight="1" x14ac:dyDescent="0.25">
      <c r="B20" s="523" t="s">
        <v>485</v>
      </c>
      <c r="C20" s="540" t="s">
        <v>1354</v>
      </c>
      <c r="D20" s="540"/>
      <c r="E20" s="540"/>
      <c r="F20" s="540"/>
      <c r="G20" s="540"/>
      <c r="H20" s="96" t="s">
        <v>251</v>
      </c>
      <c r="J20" s="148"/>
    </row>
    <row r="21" spans="2:10" x14ac:dyDescent="0.25">
      <c r="B21" s="523"/>
      <c r="C21" s="56" t="s">
        <v>233</v>
      </c>
      <c r="D21" s="57" t="s">
        <v>234</v>
      </c>
      <c r="E21" s="57" t="s">
        <v>47</v>
      </c>
      <c r="F21" s="57" t="s">
        <v>37</v>
      </c>
      <c r="G21" s="58" t="s">
        <v>48</v>
      </c>
      <c r="H21" s="58" t="s">
        <v>235</v>
      </c>
      <c r="J21" s="148"/>
    </row>
    <row r="22" spans="2:10" x14ac:dyDescent="0.25">
      <c r="B22" s="59" t="s">
        <v>49</v>
      </c>
      <c r="C22" s="243">
        <v>10966</v>
      </c>
      <c r="D22" s="32" t="s">
        <v>1349</v>
      </c>
      <c r="E22" s="243" t="s">
        <v>253</v>
      </c>
      <c r="F22" s="101">
        <v>15</v>
      </c>
      <c r="G22" s="62">
        <v>12.96</v>
      </c>
      <c r="H22" s="157">
        <f>G22*F22</f>
        <v>194.4</v>
      </c>
      <c r="J22" s="148"/>
    </row>
    <row r="23" spans="2:10" ht="51" x14ac:dyDescent="0.25">
      <c r="B23" s="59" t="s">
        <v>50</v>
      </c>
      <c r="C23" s="243">
        <v>100745</v>
      </c>
      <c r="D23" s="234" t="s">
        <v>1350</v>
      </c>
      <c r="E23" s="243" t="s">
        <v>251</v>
      </c>
      <c r="F23" s="61">
        <v>1</v>
      </c>
      <c r="G23" s="62">
        <v>21.28</v>
      </c>
      <c r="H23" s="157">
        <f t="shared" ref="H23:H26" si="1">G23*F23</f>
        <v>21.28</v>
      </c>
      <c r="J23" s="148"/>
    </row>
    <row r="24" spans="2:10" ht="38.25" x14ac:dyDescent="0.25">
      <c r="B24" s="59" t="s">
        <v>50</v>
      </c>
      <c r="C24" s="243">
        <v>100722</v>
      </c>
      <c r="D24" s="234" t="s">
        <v>1351</v>
      </c>
      <c r="E24" s="243" t="s">
        <v>251</v>
      </c>
      <c r="F24" s="61">
        <v>1</v>
      </c>
      <c r="G24" s="62">
        <v>20.420000000000002</v>
      </c>
      <c r="H24" s="157">
        <f t="shared" si="1"/>
        <v>20.420000000000002</v>
      </c>
      <c r="J24" s="148"/>
    </row>
    <row r="25" spans="2:10" ht="25.5" x14ac:dyDescent="0.25">
      <c r="B25" s="59" t="s">
        <v>50</v>
      </c>
      <c r="C25" s="243">
        <v>88278</v>
      </c>
      <c r="D25" s="234" t="s">
        <v>1352</v>
      </c>
      <c r="E25" s="243" t="s">
        <v>54</v>
      </c>
      <c r="F25" s="61">
        <v>1</v>
      </c>
      <c r="G25" s="62">
        <v>15.65</v>
      </c>
      <c r="H25" s="157">
        <f t="shared" si="1"/>
        <v>15.65</v>
      </c>
    </row>
    <row r="26" spans="2:10" x14ac:dyDescent="0.25">
      <c r="B26" s="59" t="s">
        <v>50</v>
      </c>
      <c r="C26" s="243">
        <v>88316</v>
      </c>
      <c r="D26" s="234" t="s">
        <v>255</v>
      </c>
      <c r="E26" s="243" t="s">
        <v>54</v>
      </c>
      <c r="F26" s="61">
        <v>1</v>
      </c>
      <c r="G26" s="62">
        <v>17.420000000000002</v>
      </c>
      <c r="H26" s="157">
        <f t="shared" si="1"/>
        <v>17.420000000000002</v>
      </c>
      <c r="J26" s="148"/>
    </row>
    <row r="27" spans="2:10" x14ac:dyDescent="0.25">
      <c r="B27" s="542" t="s">
        <v>1353</v>
      </c>
      <c r="C27" s="542"/>
      <c r="D27" s="542"/>
      <c r="E27" s="542"/>
      <c r="F27" s="542"/>
      <c r="G27" s="244" t="s">
        <v>5</v>
      </c>
      <c r="H27" s="245">
        <f>SUM(H22:H26)</f>
        <v>269.17</v>
      </c>
    </row>
    <row r="28" spans="2:10" x14ac:dyDescent="0.25">
      <c r="B28" s="522"/>
      <c r="C28" s="522"/>
      <c r="D28" s="522"/>
      <c r="E28" s="522"/>
      <c r="F28" s="522"/>
      <c r="G28" s="522"/>
      <c r="H28" s="522"/>
    </row>
    <row r="29" spans="2:10" x14ac:dyDescent="0.25">
      <c r="B29" s="523" t="s">
        <v>866</v>
      </c>
      <c r="C29" s="523" t="s">
        <v>277</v>
      </c>
      <c r="D29" s="523"/>
      <c r="E29" s="523"/>
      <c r="F29" s="523"/>
      <c r="G29" s="523"/>
      <c r="H29" s="96" t="s">
        <v>257</v>
      </c>
    </row>
    <row r="30" spans="2:10" x14ac:dyDescent="0.25">
      <c r="B30" s="523"/>
      <c r="C30" s="56" t="s">
        <v>233</v>
      </c>
      <c r="D30" s="57" t="s">
        <v>234</v>
      </c>
      <c r="E30" s="57" t="s">
        <v>47</v>
      </c>
      <c r="F30" s="57" t="s">
        <v>37</v>
      </c>
      <c r="G30" s="58" t="s">
        <v>48</v>
      </c>
      <c r="H30" s="58" t="s">
        <v>235</v>
      </c>
    </row>
    <row r="31" spans="2:10" x14ac:dyDescent="0.25">
      <c r="B31" s="27" t="s">
        <v>49</v>
      </c>
      <c r="C31" s="27">
        <v>7253</v>
      </c>
      <c r="D31" s="25" t="s">
        <v>276</v>
      </c>
      <c r="E31" s="27" t="s">
        <v>257</v>
      </c>
      <c r="F31" s="27">
        <v>1</v>
      </c>
      <c r="G31" s="62">
        <v>143.57</v>
      </c>
      <c r="H31" s="157">
        <f>G31*F31</f>
        <v>143.57</v>
      </c>
      <c r="J31" s="38" t="s">
        <v>975</v>
      </c>
    </row>
    <row r="32" spans="2:10" x14ac:dyDescent="0.25">
      <c r="B32" s="27" t="s">
        <v>50</v>
      </c>
      <c r="C32" s="27">
        <v>88316</v>
      </c>
      <c r="D32" s="25" t="s">
        <v>255</v>
      </c>
      <c r="E32" s="27" t="s">
        <v>54</v>
      </c>
      <c r="F32" s="27">
        <v>1.6</v>
      </c>
      <c r="G32" s="62">
        <f>G16</f>
        <v>17.420000000000002</v>
      </c>
      <c r="H32" s="157">
        <f>G32*F32</f>
        <v>27.87</v>
      </c>
    </row>
    <row r="33" spans="2:15" x14ac:dyDescent="0.25">
      <c r="B33" s="524" t="s">
        <v>290</v>
      </c>
      <c r="C33" s="524"/>
      <c r="D33" s="524"/>
      <c r="E33" s="161"/>
      <c r="F33" s="159"/>
      <c r="G33" s="160" t="s">
        <v>5</v>
      </c>
      <c r="H33" s="242">
        <f>SUM(H31:H32)</f>
        <v>171.44</v>
      </c>
      <c r="L33" s="181">
        <v>88650</v>
      </c>
      <c r="M33" s="180" t="s">
        <v>331</v>
      </c>
      <c r="N33" s="181" t="s">
        <v>248</v>
      </c>
      <c r="O33" s="246" t="s">
        <v>332</v>
      </c>
    </row>
    <row r="34" spans="2:15" x14ac:dyDescent="0.25">
      <c r="B34" s="522"/>
      <c r="C34" s="522"/>
      <c r="D34" s="522"/>
      <c r="E34" s="522"/>
      <c r="F34" s="522"/>
      <c r="G34" s="522"/>
      <c r="H34" s="522"/>
      <c r="L34" s="192">
        <v>1292</v>
      </c>
      <c r="M34" s="184" t="s">
        <v>333</v>
      </c>
      <c r="N34" s="192" t="s">
        <v>251</v>
      </c>
      <c r="O34" s="192">
        <v>0.188</v>
      </c>
    </row>
    <row r="35" spans="2:15" x14ac:dyDescent="0.25">
      <c r="B35" s="523" t="s">
        <v>935</v>
      </c>
      <c r="C35" s="523" t="s">
        <v>859</v>
      </c>
      <c r="D35" s="523"/>
      <c r="E35" s="523"/>
      <c r="F35" s="523"/>
      <c r="G35" s="523"/>
      <c r="H35" s="96" t="s">
        <v>251</v>
      </c>
      <c r="L35" s="192">
        <v>1381</v>
      </c>
      <c r="M35" s="184" t="s">
        <v>334</v>
      </c>
      <c r="N35" s="192" t="s">
        <v>253</v>
      </c>
      <c r="O35" s="192">
        <v>0.60299999999999998</v>
      </c>
    </row>
    <row r="36" spans="2:15" x14ac:dyDescent="0.25">
      <c r="B36" s="523"/>
      <c r="C36" s="56" t="s">
        <v>233</v>
      </c>
      <c r="D36" s="57" t="s">
        <v>234</v>
      </c>
      <c r="E36" s="57" t="s">
        <v>47</v>
      </c>
      <c r="F36" s="57" t="s">
        <v>37</v>
      </c>
      <c r="G36" s="58" t="s">
        <v>48</v>
      </c>
      <c r="H36" s="58" t="s">
        <v>235</v>
      </c>
      <c r="L36" s="192">
        <v>34357</v>
      </c>
      <c r="M36" s="184" t="s">
        <v>293</v>
      </c>
      <c r="N36" s="192" t="s">
        <v>253</v>
      </c>
      <c r="O36" s="192">
        <v>8.4000000000000005E-2</v>
      </c>
    </row>
    <row r="37" spans="2:15" ht="25.5" x14ac:dyDescent="0.25">
      <c r="B37" s="27" t="s">
        <v>324</v>
      </c>
      <c r="C37" s="27" t="str">
        <f>COTAÇÕES!C69</f>
        <v>COT 021</v>
      </c>
      <c r="D37" s="25" t="s">
        <v>275</v>
      </c>
      <c r="E37" s="27" t="s">
        <v>251</v>
      </c>
      <c r="F37" s="27">
        <v>1</v>
      </c>
      <c r="G37" s="62">
        <f>COTAÇÕES!J69</f>
        <v>29.55</v>
      </c>
      <c r="H37" s="157">
        <f>G37*F37</f>
        <v>29.55</v>
      </c>
      <c r="L37" s="192">
        <v>88256</v>
      </c>
      <c r="M37" s="184" t="s">
        <v>297</v>
      </c>
      <c r="N37" s="192" t="s">
        <v>54</v>
      </c>
      <c r="O37" s="192">
        <v>8.5000000000000006E-2</v>
      </c>
    </row>
    <row r="38" spans="2:15" x14ac:dyDescent="0.25">
      <c r="B38" s="27" t="s">
        <v>50</v>
      </c>
      <c r="C38" s="27">
        <v>88316</v>
      </c>
      <c r="D38" s="25" t="s">
        <v>255</v>
      </c>
      <c r="E38" s="27" t="s">
        <v>54</v>
      </c>
      <c r="F38" s="27">
        <v>0.15640000000000001</v>
      </c>
      <c r="G38" s="62">
        <f>G32</f>
        <v>17.420000000000002</v>
      </c>
      <c r="H38" s="157">
        <f>G38*F38</f>
        <v>2.72</v>
      </c>
      <c r="L38" s="192">
        <v>88316</v>
      </c>
      <c r="M38" s="184" t="s">
        <v>255</v>
      </c>
      <c r="N38" s="192" t="s">
        <v>54</v>
      </c>
      <c r="O38" s="192">
        <v>3.1E-2</v>
      </c>
    </row>
    <row r="39" spans="2:15" x14ac:dyDescent="0.25">
      <c r="B39" s="27" t="s">
        <v>50</v>
      </c>
      <c r="C39" s="27">
        <v>88441</v>
      </c>
      <c r="D39" s="25" t="s">
        <v>274</v>
      </c>
      <c r="E39" s="27" t="s">
        <v>54</v>
      </c>
      <c r="F39" s="27">
        <v>3.9100000000000003E-2</v>
      </c>
      <c r="G39" s="62">
        <v>18.87</v>
      </c>
      <c r="H39" s="157">
        <f>G39*F39</f>
        <v>0.74</v>
      </c>
    </row>
    <row r="40" spans="2:15" x14ac:dyDescent="0.25">
      <c r="B40" s="524" t="s">
        <v>291</v>
      </c>
      <c r="C40" s="524"/>
      <c r="D40" s="524"/>
      <c r="E40" s="161"/>
      <c r="F40" s="159"/>
      <c r="G40" s="160" t="s">
        <v>5</v>
      </c>
      <c r="H40" s="242">
        <f>SUM(H37:H39)</f>
        <v>33.01</v>
      </c>
      <c r="J40" s="38" t="s">
        <v>962</v>
      </c>
    </row>
    <row r="41" spans="2:15" x14ac:dyDescent="0.25">
      <c r="B41" s="522"/>
      <c r="C41" s="522"/>
      <c r="D41" s="522"/>
      <c r="E41" s="522"/>
      <c r="F41" s="522"/>
      <c r="G41" s="522"/>
      <c r="H41" s="522"/>
      <c r="J41" s="148"/>
      <c r="M41" s="38" t="s">
        <v>434</v>
      </c>
    </row>
    <row r="42" spans="2:15" x14ac:dyDescent="0.25">
      <c r="B42" s="523" t="s">
        <v>903</v>
      </c>
      <c r="C42" s="523" t="s">
        <v>937</v>
      </c>
      <c r="D42" s="523"/>
      <c r="E42" s="523"/>
      <c r="F42" s="523"/>
      <c r="G42" s="523"/>
      <c r="H42" s="96" t="s">
        <v>309</v>
      </c>
      <c r="J42" s="148"/>
      <c r="L42" s="181" t="s">
        <v>336</v>
      </c>
      <c r="M42" s="180" t="s">
        <v>335</v>
      </c>
      <c r="N42" s="181" t="s">
        <v>248</v>
      </c>
      <c r="O42" s="247">
        <f>(3/7)+1</f>
        <v>1.4286000000000001</v>
      </c>
    </row>
    <row r="43" spans="2:15" x14ac:dyDescent="0.25">
      <c r="B43" s="523"/>
      <c r="C43" s="56" t="s">
        <v>233</v>
      </c>
      <c r="D43" s="57" t="s">
        <v>234</v>
      </c>
      <c r="E43" s="57" t="s">
        <v>47</v>
      </c>
      <c r="F43" s="57" t="s">
        <v>37</v>
      </c>
      <c r="G43" s="58" t="s">
        <v>48</v>
      </c>
      <c r="H43" s="58" t="s">
        <v>235</v>
      </c>
      <c r="J43" s="148"/>
      <c r="L43" s="192">
        <v>1292</v>
      </c>
      <c r="M43" s="184" t="s">
        <v>295</v>
      </c>
      <c r="N43" s="192" t="s">
        <v>251</v>
      </c>
      <c r="O43" s="248">
        <f>'PMA CIV'!O34*$O$42</f>
        <v>0.26860000000000001</v>
      </c>
    </row>
    <row r="44" spans="2:15" ht="25.5" x14ac:dyDescent="0.25">
      <c r="B44" s="27" t="s">
        <v>49</v>
      </c>
      <c r="C44" s="27">
        <v>39771</v>
      </c>
      <c r="D44" s="34" t="s">
        <v>936</v>
      </c>
      <c r="E44" s="27" t="s">
        <v>309</v>
      </c>
      <c r="F44" s="27">
        <v>1</v>
      </c>
      <c r="G44" s="62">
        <v>36.94</v>
      </c>
      <c r="H44" s="62">
        <f>G44*F44</f>
        <v>36.94</v>
      </c>
      <c r="J44" s="148"/>
      <c r="L44" s="192">
        <v>1381</v>
      </c>
      <c r="M44" s="184" t="s">
        <v>294</v>
      </c>
      <c r="N44" s="192" t="s">
        <v>253</v>
      </c>
      <c r="O44" s="248">
        <f>'PMA CIV'!O35*$O$42</f>
        <v>0.86140000000000005</v>
      </c>
    </row>
    <row r="45" spans="2:15" x14ac:dyDescent="0.25">
      <c r="B45" s="27" t="s">
        <v>296</v>
      </c>
      <c r="C45" s="27">
        <v>88247</v>
      </c>
      <c r="D45" s="34" t="s">
        <v>465</v>
      </c>
      <c r="E45" s="27" t="s">
        <v>54</v>
      </c>
      <c r="F45" s="27">
        <v>0.34599999999999997</v>
      </c>
      <c r="G45" s="62">
        <v>18.809999999999999</v>
      </c>
      <c r="H45" s="62">
        <f t="shared" ref="H45:H46" si="2">G45*F45</f>
        <v>6.51</v>
      </c>
      <c r="J45" s="148" t="s">
        <v>975</v>
      </c>
      <c r="L45" s="192">
        <v>34357</v>
      </c>
      <c r="M45" s="184" t="s">
        <v>293</v>
      </c>
      <c r="N45" s="192" t="s">
        <v>253</v>
      </c>
      <c r="O45" s="248">
        <f>'PMA CIV'!O36*$O$42</f>
        <v>0.12</v>
      </c>
    </row>
    <row r="46" spans="2:15" x14ac:dyDescent="0.25">
      <c r="B46" s="27" t="s">
        <v>296</v>
      </c>
      <c r="C46" s="27">
        <v>88264</v>
      </c>
      <c r="D46" s="34" t="s">
        <v>466</v>
      </c>
      <c r="E46" s="27" t="s">
        <v>54</v>
      </c>
      <c r="F46" s="27">
        <v>0.34599999999999997</v>
      </c>
      <c r="G46" s="62">
        <v>22.67</v>
      </c>
      <c r="H46" s="62">
        <f t="shared" si="2"/>
        <v>7.84</v>
      </c>
      <c r="L46" s="192">
        <v>88256</v>
      </c>
      <c r="M46" s="184" t="s">
        <v>297</v>
      </c>
      <c r="N46" s="192" t="s">
        <v>54</v>
      </c>
      <c r="O46" s="248">
        <f>'PMA CIV'!O37*$O$42</f>
        <v>0.12139999999999999</v>
      </c>
    </row>
    <row r="47" spans="2:15" x14ac:dyDescent="0.25">
      <c r="B47" s="524" t="s">
        <v>940</v>
      </c>
      <c r="C47" s="524"/>
      <c r="D47" s="524"/>
      <c r="E47" s="161"/>
      <c r="F47" s="159"/>
      <c r="G47" s="160" t="s">
        <v>5</v>
      </c>
      <c r="H47" s="242">
        <f>SUM(H44:H46)</f>
        <v>51.29</v>
      </c>
      <c r="L47" s="192">
        <v>88316</v>
      </c>
      <c r="M47" s="184" t="s">
        <v>255</v>
      </c>
      <c r="N47" s="192" t="s">
        <v>54</v>
      </c>
      <c r="O47" s="248">
        <f>'PMA CIV'!O38*$O$42</f>
        <v>4.4299999999999999E-2</v>
      </c>
    </row>
    <row r="48" spans="2:15" x14ac:dyDescent="0.25">
      <c r="B48" s="541"/>
      <c r="C48" s="541"/>
      <c r="D48" s="541"/>
      <c r="E48" s="541"/>
      <c r="F48" s="541"/>
      <c r="G48" s="541"/>
      <c r="H48" s="541"/>
    </row>
    <row r="49" spans="2:15" ht="27" customHeight="1" x14ac:dyDescent="0.25">
      <c r="B49" s="523" t="s">
        <v>486</v>
      </c>
      <c r="C49" s="523" t="s">
        <v>857</v>
      </c>
      <c r="D49" s="523"/>
      <c r="E49" s="523"/>
      <c r="F49" s="523"/>
      <c r="G49" s="523"/>
      <c r="H49" s="96" t="s">
        <v>248</v>
      </c>
    </row>
    <row r="50" spans="2:15" x14ac:dyDescent="0.25">
      <c r="B50" s="523"/>
      <c r="C50" s="56" t="s">
        <v>233</v>
      </c>
      <c r="D50" s="57" t="s">
        <v>234</v>
      </c>
      <c r="E50" s="57" t="s">
        <v>47</v>
      </c>
      <c r="F50" s="57" t="s">
        <v>37</v>
      </c>
      <c r="G50" s="58" t="s">
        <v>48</v>
      </c>
      <c r="H50" s="58" t="s">
        <v>235</v>
      </c>
    </row>
    <row r="51" spans="2:15" x14ac:dyDescent="0.25">
      <c r="B51" s="27" t="s">
        <v>49</v>
      </c>
      <c r="C51" s="27">
        <v>34357</v>
      </c>
      <c r="D51" s="25" t="s">
        <v>293</v>
      </c>
      <c r="E51" s="27" t="s">
        <v>253</v>
      </c>
      <c r="F51" s="27">
        <v>0.12</v>
      </c>
      <c r="G51" s="62">
        <v>6.16</v>
      </c>
      <c r="H51" s="157">
        <f>G51*F51</f>
        <v>0.74</v>
      </c>
      <c r="J51" s="38" t="s">
        <v>962</v>
      </c>
    </row>
    <row r="52" spans="2:15" s="28" customFormat="1" x14ac:dyDescent="0.25">
      <c r="B52" s="27" t="s">
        <v>49</v>
      </c>
      <c r="C52" s="27">
        <v>37595</v>
      </c>
      <c r="D52" s="25" t="s">
        <v>294</v>
      </c>
      <c r="E52" s="27" t="s">
        <v>253</v>
      </c>
      <c r="F52" s="27">
        <v>0.86140000000000005</v>
      </c>
      <c r="G52" s="62">
        <v>3.22</v>
      </c>
      <c r="H52" s="157">
        <f>G52*F52</f>
        <v>2.77</v>
      </c>
      <c r="J52" s="94"/>
      <c r="K52"/>
      <c r="L52" s="94"/>
      <c r="M52" s="94"/>
      <c r="N52" s="94"/>
      <c r="O52" s="94"/>
    </row>
    <row r="53" spans="2:15" ht="25.5" x14ac:dyDescent="0.25">
      <c r="B53" s="27" t="s">
        <v>49</v>
      </c>
      <c r="C53" s="27">
        <v>38195</v>
      </c>
      <c r="D53" s="25" t="s">
        <v>295</v>
      </c>
      <c r="E53" s="27" t="s">
        <v>251</v>
      </c>
      <c r="F53" s="92">
        <v>0.26860000000000001</v>
      </c>
      <c r="G53" s="62">
        <v>113.91</v>
      </c>
      <c r="H53" s="157">
        <f>G53*F53</f>
        <v>30.6</v>
      </c>
      <c r="K53" s="38"/>
    </row>
    <row r="54" spans="2:15" x14ac:dyDescent="0.25">
      <c r="B54" s="27" t="s">
        <v>296</v>
      </c>
      <c r="C54" s="27">
        <v>88256</v>
      </c>
      <c r="D54" s="25" t="s">
        <v>297</v>
      </c>
      <c r="E54" s="27" t="s">
        <v>54</v>
      </c>
      <c r="F54" s="92">
        <v>0.12139999999999999</v>
      </c>
      <c r="G54" s="62">
        <v>21.72</v>
      </c>
      <c r="H54" s="157">
        <f>G54*F54</f>
        <v>2.64</v>
      </c>
    </row>
    <row r="55" spans="2:15" x14ac:dyDescent="0.25">
      <c r="B55" s="27" t="s">
        <v>296</v>
      </c>
      <c r="C55" s="27">
        <v>88316</v>
      </c>
      <c r="D55" s="25" t="s">
        <v>255</v>
      </c>
      <c r="E55" s="27" t="s">
        <v>54</v>
      </c>
      <c r="F55" s="92">
        <v>4.4299999999999999E-2</v>
      </c>
      <c r="G55" s="62">
        <v>17.420000000000002</v>
      </c>
      <c r="H55" s="157">
        <f>G55*F55</f>
        <v>0.77</v>
      </c>
    </row>
    <row r="56" spans="2:15" x14ac:dyDescent="0.25">
      <c r="B56" s="525" t="s">
        <v>337</v>
      </c>
      <c r="C56" s="525"/>
      <c r="D56" s="525"/>
      <c r="E56" s="350"/>
      <c r="F56" s="350"/>
      <c r="G56" s="244" t="s">
        <v>5</v>
      </c>
      <c r="H56" s="245">
        <f>SUM(H51:H55)</f>
        <v>37.520000000000003</v>
      </c>
    </row>
    <row r="57" spans="2:15" x14ac:dyDescent="0.25">
      <c r="B57" s="522"/>
      <c r="C57" s="522"/>
      <c r="D57" s="522"/>
      <c r="E57" s="522"/>
      <c r="F57" s="522"/>
      <c r="G57" s="522"/>
      <c r="H57" s="522"/>
    </row>
    <row r="58" spans="2:15" x14ac:dyDescent="0.25">
      <c r="B58" s="523" t="s">
        <v>487</v>
      </c>
      <c r="C58" s="523" t="s">
        <v>662</v>
      </c>
      <c r="D58" s="523"/>
      <c r="E58" s="523"/>
      <c r="F58" s="523"/>
      <c r="G58" s="523"/>
      <c r="H58" s="96" t="s">
        <v>251</v>
      </c>
    </row>
    <row r="59" spans="2:15" x14ac:dyDescent="0.25">
      <c r="B59" s="523"/>
      <c r="C59" s="56" t="s">
        <v>233</v>
      </c>
      <c r="D59" s="57" t="s">
        <v>234</v>
      </c>
      <c r="E59" s="57" t="s">
        <v>47</v>
      </c>
      <c r="F59" s="57" t="s">
        <v>37</v>
      </c>
      <c r="G59" s="58" t="s">
        <v>48</v>
      </c>
      <c r="H59" s="58" t="s">
        <v>235</v>
      </c>
    </row>
    <row r="60" spans="2:15" x14ac:dyDescent="0.25">
      <c r="B60" s="27" t="s">
        <v>296</v>
      </c>
      <c r="C60" s="27">
        <v>88316</v>
      </c>
      <c r="D60" s="25" t="s">
        <v>255</v>
      </c>
      <c r="E60" s="27" t="s">
        <v>54</v>
      </c>
      <c r="F60" s="92">
        <v>0.33</v>
      </c>
      <c r="G60" s="62">
        <v>17.420000000000002</v>
      </c>
      <c r="H60" s="157">
        <f>G60*F60</f>
        <v>5.75</v>
      </c>
    </row>
    <row r="61" spans="2:15" x14ac:dyDescent="0.25">
      <c r="B61" s="524" t="s">
        <v>663</v>
      </c>
      <c r="C61" s="524"/>
      <c r="D61" s="524"/>
      <c r="E61" s="161"/>
      <c r="F61" s="159"/>
      <c r="G61" s="160" t="s">
        <v>5</v>
      </c>
      <c r="H61" s="242">
        <f>SUM(H60:H60)</f>
        <v>5.75</v>
      </c>
    </row>
    <row r="62" spans="2:15" x14ac:dyDescent="0.25">
      <c r="B62" s="522"/>
      <c r="C62" s="522"/>
      <c r="D62" s="522"/>
      <c r="E62" s="522"/>
      <c r="F62" s="522"/>
      <c r="G62" s="522"/>
      <c r="H62" s="522"/>
    </row>
    <row r="63" spans="2:15" x14ac:dyDescent="0.25">
      <c r="B63" s="523" t="s">
        <v>488</v>
      </c>
      <c r="C63" s="523" t="s">
        <v>654</v>
      </c>
      <c r="D63" s="523"/>
      <c r="E63" s="523"/>
      <c r="F63" s="523"/>
      <c r="G63" s="523"/>
      <c r="H63" s="96" t="s">
        <v>251</v>
      </c>
    </row>
    <row r="64" spans="2:15" x14ac:dyDescent="0.25">
      <c r="B64" s="523"/>
      <c r="C64" s="56" t="s">
        <v>233</v>
      </c>
      <c r="D64" s="57" t="s">
        <v>234</v>
      </c>
      <c r="E64" s="57" t="s">
        <v>47</v>
      </c>
      <c r="F64" s="57" t="s">
        <v>37</v>
      </c>
      <c r="G64" s="58" t="s">
        <v>48</v>
      </c>
      <c r="H64" s="58" t="s">
        <v>235</v>
      </c>
      <c r="I64" s="241"/>
      <c r="J64"/>
      <c r="L64"/>
    </row>
    <row r="65" spans="2:12" ht="25.5" x14ac:dyDescent="0.25">
      <c r="B65" s="27" t="s">
        <v>296</v>
      </c>
      <c r="C65" s="27">
        <v>99803</v>
      </c>
      <c r="D65" s="25" t="s">
        <v>658</v>
      </c>
      <c r="E65" s="27" t="s">
        <v>251</v>
      </c>
      <c r="F65" s="27">
        <v>1</v>
      </c>
      <c r="G65" s="62">
        <v>1.68</v>
      </c>
      <c r="H65" s="157">
        <f>G65*F65</f>
        <v>1.68</v>
      </c>
      <c r="I65" s="241"/>
      <c r="J65"/>
      <c r="L65"/>
    </row>
    <row r="66" spans="2:12" x14ac:dyDescent="0.25">
      <c r="B66" s="27" t="s">
        <v>296</v>
      </c>
      <c r="C66" s="27">
        <v>99814</v>
      </c>
      <c r="D66" s="25" t="s">
        <v>657</v>
      </c>
      <c r="E66" s="27" t="s">
        <v>251</v>
      </c>
      <c r="F66" s="27">
        <v>1</v>
      </c>
      <c r="G66" s="62">
        <v>1.62</v>
      </c>
      <c r="H66" s="157">
        <f>G66*F66</f>
        <v>1.62</v>
      </c>
      <c r="I66" s="241"/>
      <c r="J66"/>
      <c r="L66"/>
    </row>
    <row r="67" spans="2:12" x14ac:dyDescent="0.25">
      <c r="B67" s="524" t="s">
        <v>656</v>
      </c>
      <c r="C67" s="524"/>
      <c r="D67" s="524"/>
      <c r="E67" s="161"/>
      <c r="F67" s="159"/>
      <c r="G67" s="160" t="s">
        <v>5</v>
      </c>
      <c r="H67" s="242">
        <f>SUM(H65:H66)</f>
        <v>3.3</v>
      </c>
      <c r="I67" s="241"/>
      <c r="J67"/>
      <c r="L67"/>
    </row>
    <row r="68" spans="2:12" x14ac:dyDescent="0.25">
      <c r="B68" s="522"/>
      <c r="C68" s="522"/>
      <c r="D68" s="522"/>
      <c r="E68" s="522"/>
      <c r="F68" s="522"/>
      <c r="G68" s="522"/>
      <c r="H68" s="522"/>
      <c r="I68" s="241"/>
      <c r="J68"/>
      <c r="L68"/>
    </row>
    <row r="69" spans="2:12" ht="27" customHeight="1" x14ac:dyDescent="0.25">
      <c r="B69" s="523" t="s">
        <v>1025</v>
      </c>
      <c r="C69" s="523" t="s">
        <v>1612</v>
      </c>
      <c r="D69" s="523"/>
      <c r="E69" s="523"/>
      <c r="F69" s="523"/>
      <c r="G69" s="523"/>
      <c r="H69" s="96" t="s">
        <v>248</v>
      </c>
      <c r="I69" s="241"/>
      <c r="J69"/>
      <c r="L69"/>
    </row>
    <row r="70" spans="2:12" x14ac:dyDescent="0.25">
      <c r="B70" s="523"/>
      <c r="C70" s="56" t="s">
        <v>233</v>
      </c>
      <c r="D70" s="57" t="s">
        <v>234</v>
      </c>
      <c r="E70" s="57" t="s">
        <v>47</v>
      </c>
      <c r="F70" s="57" t="s">
        <v>37</v>
      </c>
      <c r="G70" s="58" t="s">
        <v>48</v>
      </c>
      <c r="H70" s="58" t="s">
        <v>235</v>
      </c>
      <c r="I70" s="241"/>
      <c r="J70"/>
      <c r="L70"/>
    </row>
    <row r="71" spans="2:12" ht="51" x14ac:dyDescent="0.25">
      <c r="B71" s="27" t="s">
        <v>50</v>
      </c>
      <c r="C71" s="27">
        <v>91170</v>
      </c>
      <c r="D71" s="25" t="s">
        <v>1023</v>
      </c>
      <c r="E71" s="27" t="s">
        <v>248</v>
      </c>
      <c r="F71" s="201">
        <v>1</v>
      </c>
      <c r="G71" s="62">
        <v>3.08</v>
      </c>
      <c r="H71" s="157">
        <f>G71*F71</f>
        <v>3.08</v>
      </c>
      <c r="I71" s="241"/>
      <c r="J71"/>
      <c r="L71"/>
    </row>
    <row r="72" spans="2:12" ht="38.25" x14ac:dyDescent="0.25">
      <c r="B72" s="27" t="s">
        <v>49</v>
      </c>
      <c r="C72" s="21" t="str">
        <f>COTAÇÕES!C54</f>
        <v>COT 016</v>
      </c>
      <c r="D72" s="51" t="s">
        <v>1611</v>
      </c>
      <c r="E72" s="27" t="s">
        <v>248</v>
      </c>
      <c r="F72" s="201">
        <v>0.98199999999999998</v>
      </c>
      <c r="G72" s="62">
        <f>COTAÇÕES!J54</f>
        <v>38.28</v>
      </c>
      <c r="H72" s="157">
        <f t="shared" ref="H72:H75" si="3">G72*F72</f>
        <v>37.590000000000003</v>
      </c>
    </row>
    <row r="73" spans="2:12" ht="38.25" x14ac:dyDescent="0.25">
      <c r="B73" s="27" t="s">
        <v>50</v>
      </c>
      <c r="C73" s="27" t="str">
        <f>COTAÇÕES!C45</f>
        <v>COT 013</v>
      </c>
      <c r="D73" s="51" t="s">
        <v>1481</v>
      </c>
      <c r="E73" s="27" t="s">
        <v>309</v>
      </c>
      <c r="F73" s="201">
        <v>0.33300000000000002</v>
      </c>
      <c r="G73" s="68">
        <f>COTAÇÕES!J45</f>
        <v>4.8</v>
      </c>
      <c r="H73" s="157">
        <f t="shared" si="3"/>
        <v>1.6</v>
      </c>
    </row>
    <row r="74" spans="2:12" x14ac:dyDescent="0.25">
      <c r="B74" s="27" t="s">
        <v>50</v>
      </c>
      <c r="C74" s="27">
        <v>88264</v>
      </c>
      <c r="D74" s="25" t="s">
        <v>466</v>
      </c>
      <c r="E74" s="27" t="s">
        <v>54</v>
      </c>
      <c r="F74" s="201">
        <v>9.0999999999999998E-2</v>
      </c>
      <c r="G74" s="62">
        <v>22.67</v>
      </c>
      <c r="H74" s="157">
        <f t="shared" si="3"/>
        <v>2.06</v>
      </c>
    </row>
    <row r="75" spans="2:12" x14ac:dyDescent="0.25">
      <c r="B75" s="27" t="s">
        <v>50</v>
      </c>
      <c r="C75" s="27">
        <v>88247</v>
      </c>
      <c r="D75" s="25" t="s">
        <v>465</v>
      </c>
      <c r="E75" s="27" t="s">
        <v>54</v>
      </c>
      <c r="F75" s="201">
        <v>9.0999999999999998E-2</v>
      </c>
      <c r="G75" s="62">
        <v>18.809999999999999</v>
      </c>
      <c r="H75" s="157">
        <f t="shared" si="3"/>
        <v>1.71</v>
      </c>
    </row>
    <row r="76" spans="2:12" x14ac:dyDescent="0.25">
      <c r="B76" s="524" t="s">
        <v>1024</v>
      </c>
      <c r="C76" s="524"/>
      <c r="D76" s="524"/>
      <c r="E76" s="161"/>
      <c r="F76" s="159"/>
      <c r="G76" s="160" t="s">
        <v>5</v>
      </c>
      <c r="H76" s="242">
        <f>SUM(H71:H75)</f>
        <v>46.04</v>
      </c>
    </row>
    <row r="77" spans="2:12" x14ac:dyDescent="0.25">
      <c r="B77" s="25"/>
      <c r="C77" s="25"/>
      <c r="D77" s="25"/>
      <c r="E77" s="25"/>
      <c r="F77" s="27"/>
      <c r="G77" s="62"/>
      <c r="H77" s="157"/>
    </row>
    <row r="78" spans="2:12" ht="27" customHeight="1" x14ac:dyDescent="0.25">
      <c r="B78" s="523" t="s">
        <v>655</v>
      </c>
      <c r="C78" s="523" t="s">
        <v>1608</v>
      </c>
      <c r="D78" s="523"/>
      <c r="E78" s="523"/>
      <c r="F78" s="523"/>
      <c r="G78" s="523"/>
      <c r="H78" s="96" t="s">
        <v>309</v>
      </c>
    </row>
    <row r="79" spans="2:12" x14ac:dyDescent="0.25">
      <c r="B79" s="523"/>
      <c r="C79" s="56" t="s">
        <v>233</v>
      </c>
      <c r="D79" s="57" t="s">
        <v>234</v>
      </c>
      <c r="E79" s="57" t="s">
        <v>47</v>
      </c>
      <c r="F79" s="57" t="s">
        <v>37</v>
      </c>
      <c r="G79" s="58" t="s">
        <v>48</v>
      </c>
      <c r="H79" s="58" t="s">
        <v>235</v>
      </c>
    </row>
    <row r="80" spans="2:12" ht="25.5" x14ac:dyDescent="0.25">
      <c r="B80" s="59" t="s">
        <v>49</v>
      </c>
      <c r="C80" s="59" t="str">
        <f>COTAÇÕES!C90</f>
        <v>COT 028</v>
      </c>
      <c r="D80" s="60" t="s">
        <v>1613</v>
      </c>
      <c r="E80" s="59" t="s">
        <v>309</v>
      </c>
      <c r="F80" s="202">
        <v>1</v>
      </c>
      <c r="G80" s="214">
        <f>COTAÇÕES!J90</f>
        <v>27.11</v>
      </c>
      <c r="H80" s="305">
        <f>G80*F80</f>
        <v>27.11</v>
      </c>
    </row>
    <row r="81" spans="2:8" ht="25.5" x14ac:dyDescent="0.25">
      <c r="B81" s="59" t="s">
        <v>49</v>
      </c>
      <c r="C81" s="59" t="str">
        <f>COTAÇÕES!C51</f>
        <v>COT 015</v>
      </c>
      <c r="D81" s="60" t="s">
        <v>1027</v>
      </c>
      <c r="E81" s="59" t="s">
        <v>309</v>
      </c>
      <c r="F81" s="202">
        <v>4</v>
      </c>
      <c r="G81" s="214">
        <f>COTAÇÕES!J51</f>
        <v>1.6</v>
      </c>
      <c r="H81" s="305">
        <f t="shared" ref="H81:H86" si="4">G81*F81</f>
        <v>6.4</v>
      </c>
    </row>
    <row r="82" spans="2:8" ht="25.5" x14ac:dyDescent="0.25">
      <c r="B82" s="59" t="s">
        <v>49</v>
      </c>
      <c r="C82" s="59">
        <f>'PMA ELE'!C96</f>
        <v>11962</v>
      </c>
      <c r="D82" s="60" t="str">
        <f>'PMA ELE'!D96</f>
        <v>PARAFUSO ZINCADO, SEXTAVADO, COM ROSCA INTEIRA, DIAMETRO 1/4", COMPRIMENTO 1/2"</v>
      </c>
      <c r="E82" s="59" t="str">
        <f>'PMA ELE'!E96</f>
        <v>UN</v>
      </c>
      <c r="F82" s="300">
        <f>'PMA ELE'!F96</f>
        <v>16.8</v>
      </c>
      <c r="G82" s="214">
        <f>'PMA ELE'!G96</f>
        <v>0.24</v>
      </c>
      <c r="H82" s="305">
        <f t="shared" si="4"/>
        <v>4.03</v>
      </c>
    </row>
    <row r="83" spans="2:8" x14ac:dyDescent="0.25">
      <c r="B83" s="59" t="s">
        <v>49</v>
      </c>
      <c r="C83" s="59">
        <v>39997</v>
      </c>
      <c r="D83" s="60" t="s">
        <v>1028</v>
      </c>
      <c r="E83" s="59" t="s">
        <v>309</v>
      </c>
      <c r="F83" s="202">
        <v>16.8</v>
      </c>
      <c r="G83" s="214">
        <v>0.32</v>
      </c>
      <c r="H83" s="305">
        <f t="shared" si="4"/>
        <v>5.38</v>
      </c>
    </row>
    <row r="84" spans="2:8" x14ac:dyDescent="0.25">
      <c r="B84" s="59" t="s">
        <v>50</v>
      </c>
      <c r="C84" s="59">
        <v>88264</v>
      </c>
      <c r="D84" s="60" t="s">
        <v>466</v>
      </c>
      <c r="E84" s="59" t="s">
        <v>54</v>
      </c>
      <c r="F84" s="202">
        <v>0.27400000000000002</v>
      </c>
      <c r="G84" s="214">
        <f>G74</f>
        <v>22.67</v>
      </c>
      <c r="H84" s="305">
        <f t="shared" si="4"/>
        <v>6.21</v>
      </c>
    </row>
    <row r="85" spans="2:8" ht="25.5" x14ac:dyDescent="0.25">
      <c r="B85" s="59" t="s">
        <v>49</v>
      </c>
      <c r="C85" s="59">
        <v>39211</v>
      </c>
      <c r="D85" s="60" t="s">
        <v>1029</v>
      </c>
      <c r="E85" s="59" t="s">
        <v>309</v>
      </c>
      <c r="F85" s="202">
        <v>16.8</v>
      </c>
      <c r="G85" s="214">
        <v>1.67</v>
      </c>
      <c r="H85" s="305">
        <f t="shared" si="4"/>
        <v>28.06</v>
      </c>
    </row>
    <row r="86" spans="2:8" x14ac:dyDescent="0.25">
      <c r="B86" s="59" t="s">
        <v>50</v>
      </c>
      <c r="C86" s="59">
        <v>88247</v>
      </c>
      <c r="D86" s="60" t="s">
        <v>465</v>
      </c>
      <c r="E86" s="59" t="s">
        <v>54</v>
      </c>
      <c r="F86" s="202">
        <v>0.27400000000000002</v>
      </c>
      <c r="G86" s="214">
        <f>G75</f>
        <v>18.809999999999999</v>
      </c>
      <c r="H86" s="305">
        <f t="shared" si="4"/>
        <v>5.15</v>
      </c>
    </row>
    <row r="87" spans="2:8" x14ac:dyDescent="0.25">
      <c r="B87" s="524" t="s">
        <v>1026</v>
      </c>
      <c r="C87" s="524"/>
      <c r="D87" s="524"/>
      <c r="E87" s="161"/>
      <c r="F87" s="159"/>
      <c r="G87" s="160" t="s">
        <v>5</v>
      </c>
      <c r="H87" s="242">
        <f>SUM(H79:H86)</f>
        <v>82.34</v>
      </c>
    </row>
    <row r="88" spans="2:8" x14ac:dyDescent="0.25">
      <c r="B88" s="25"/>
      <c r="C88" s="351"/>
      <c r="D88" s="351"/>
      <c r="E88" s="351"/>
      <c r="F88" s="352"/>
      <c r="G88" s="353"/>
      <c r="H88" s="354"/>
    </row>
    <row r="89" spans="2:8" ht="27" customHeight="1" x14ac:dyDescent="0.25">
      <c r="B89" s="523" t="s">
        <v>1030</v>
      </c>
      <c r="C89" s="523" t="s">
        <v>1609</v>
      </c>
      <c r="D89" s="523"/>
      <c r="E89" s="523"/>
      <c r="F89" s="523"/>
      <c r="G89" s="523"/>
      <c r="H89" s="96" t="s">
        <v>309</v>
      </c>
    </row>
    <row r="90" spans="2:8" x14ac:dyDescent="0.25">
      <c r="B90" s="523"/>
      <c r="C90" s="56" t="s">
        <v>233</v>
      </c>
      <c r="D90" s="57" t="s">
        <v>234</v>
      </c>
      <c r="E90" s="57" t="s">
        <v>47</v>
      </c>
      <c r="F90" s="57" t="s">
        <v>37</v>
      </c>
      <c r="G90" s="58" t="s">
        <v>48</v>
      </c>
      <c r="H90" s="58" t="s">
        <v>235</v>
      </c>
    </row>
    <row r="91" spans="2:8" ht="25.5" x14ac:dyDescent="0.25">
      <c r="B91" s="59" t="s">
        <v>49</v>
      </c>
      <c r="C91" s="59">
        <v>39211</v>
      </c>
      <c r="D91" s="60" t="s">
        <v>1032</v>
      </c>
      <c r="E91" s="59" t="s">
        <v>309</v>
      </c>
      <c r="F91" s="202">
        <v>25.2</v>
      </c>
      <c r="G91" s="214">
        <f>G85</f>
        <v>1.67</v>
      </c>
      <c r="H91" s="305">
        <f>G91*F91</f>
        <v>42.08</v>
      </c>
    </row>
    <row r="92" spans="2:8" x14ac:dyDescent="0.25">
      <c r="B92" s="59" t="s">
        <v>49</v>
      </c>
      <c r="C92" s="59">
        <v>39997</v>
      </c>
      <c r="D92" s="60" t="s">
        <v>1033</v>
      </c>
      <c r="E92" s="59" t="s">
        <v>309</v>
      </c>
      <c r="F92" s="202">
        <v>25.2</v>
      </c>
      <c r="G92" s="214">
        <f>G83</f>
        <v>0.32</v>
      </c>
      <c r="H92" s="305">
        <f t="shared" ref="H92:H97" si="5">G92*F92</f>
        <v>8.06</v>
      </c>
    </row>
    <row r="93" spans="2:8" ht="25.5" x14ac:dyDescent="0.25">
      <c r="B93" s="59" t="s">
        <v>49</v>
      </c>
      <c r="C93" s="59" t="str">
        <f>COTAÇÕES!C92</f>
        <v>COT 029</v>
      </c>
      <c r="D93" s="60" t="s">
        <v>1034</v>
      </c>
      <c r="E93" s="59" t="s">
        <v>309</v>
      </c>
      <c r="F93" s="202">
        <v>1</v>
      </c>
      <c r="G93" s="214">
        <f>COTAÇÕES!J92</f>
        <v>38.69</v>
      </c>
      <c r="H93" s="305">
        <f t="shared" si="5"/>
        <v>38.69</v>
      </c>
    </row>
    <row r="94" spans="2:8" ht="25.5" x14ac:dyDescent="0.25">
      <c r="B94" s="59" t="s">
        <v>49</v>
      </c>
      <c r="C94" s="59" t="str">
        <f>COTAÇÕES!C51</f>
        <v>COT 015</v>
      </c>
      <c r="D94" s="60" t="s">
        <v>1027</v>
      </c>
      <c r="E94" s="59" t="s">
        <v>309</v>
      </c>
      <c r="F94" s="202">
        <v>6</v>
      </c>
      <c r="G94" s="214">
        <f>COTAÇÕES!J48</f>
        <v>6.9</v>
      </c>
      <c r="H94" s="305">
        <f t="shared" si="5"/>
        <v>41.4</v>
      </c>
    </row>
    <row r="95" spans="2:8" ht="25.5" x14ac:dyDescent="0.25">
      <c r="B95" s="59" t="s">
        <v>49</v>
      </c>
      <c r="C95" s="59">
        <f>C82</f>
        <v>11962</v>
      </c>
      <c r="D95" s="60" t="str">
        <f>D82</f>
        <v>PARAFUSO ZINCADO, SEXTAVADO, COM ROSCA INTEIRA, DIAMETRO 1/4", COMPRIMENTO 1/2"</v>
      </c>
      <c r="E95" s="59" t="s">
        <v>309</v>
      </c>
      <c r="F95" s="202">
        <v>25.2</v>
      </c>
      <c r="G95" s="214">
        <f>G82</f>
        <v>0.24</v>
      </c>
      <c r="H95" s="305">
        <f t="shared" si="5"/>
        <v>6.05</v>
      </c>
    </row>
    <row r="96" spans="2:8" x14ac:dyDescent="0.25">
      <c r="B96" s="59" t="s">
        <v>50</v>
      </c>
      <c r="C96" s="59">
        <v>88264</v>
      </c>
      <c r="D96" s="60" t="s">
        <v>466</v>
      </c>
      <c r="E96" s="59" t="s">
        <v>54</v>
      </c>
      <c r="F96" s="202">
        <v>0.36599999999999999</v>
      </c>
      <c r="G96" s="214">
        <f>G84</f>
        <v>22.67</v>
      </c>
      <c r="H96" s="305">
        <f t="shared" si="5"/>
        <v>8.3000000000000007</v>
      </c>
    </row>
    <row r="97" spans="2:11" x14ac:dyDescent="0.25">
      <c r="B97" s="59" t="s">
        <v>50</v>
      </c>
      <c r="C97" s="59">
        <v>88247</v>
      </c>
      <c r="D97" s="60" t="s">
        <v>465</v>
      </c>
      <c r="E97" s="59" t="s">
        <v>54</v>
      </c>
      <c r="F97" s="202">
        <v>0.36599999999999999</v>
      </c>
      <c r="G97" s="214">
        <f>G86</f>
        <v>18.809999999999999</v>
      </c>
      <c r="H97" s="305">
        <f t="shared" si="5"/>
        <v>6.88</v>
      </c>
    </row>
    <row r="98" spans="2:11" x14ac:dyDescent="0.25">
      <c r="B98" s="524" t="s">
        <v>1031</v>
      </c>
      <c r="C98" s="524"/>
      <c r="D98" s="524"/>
      <c r="E98" s="161"/>
      <c r="F98" s="159"/>
      <c r="G98" s="160" t="s">
        <v>5</v>
      </c>
      <c r="H98" s="242">
        <f>SUM(H90:H97)</f>
        <v>151.46</v>
      </c>
    </row>
    <row r="99" spans="2:11" x14ac:dyDescent="0.25">
      <c r="B99" s="25"/>
      <c r="C99" s="25"/>
      <c r="D99" s="25"/>
      <c r="E99" s="25"/>
      <c r="F99" s="27"/>
      <c r="G99" s="62"/>
      <c r="H99" s="157"/>
    </row>
    <row r="100" spans="2:11" ht="27" customHeight="1" x14ac:dyDescent="0.25">
      <c r="B100" s="523" t="s">
        <v>1050</v>
      </c>
      <c r="C100" s="449" t="str">
        <f>'PLANILHA ORÇAMENTÁRIA'!D395</f>
        <v>CONDULETE DE ALUMÍNIO, TIPO X, PARA ELETRODUTOS DN 50 MM (2''), APARENTE - FORNECIMENTO E INSTALAÇÃO. AF_11/2016</v>
      </c>
      <c r="D100" s="449"/>
      <c r="E100" s="449"/>
      <c r="F100" s="449"/>
      <c r="G100" s="449"/>
      <c r="H100" s="96" t="s">
        <v>309</v>
      </c>
    </row>
    <row r="101" spans="2:11" x14ac:dyDescent="0.25">
      <c r="B101" s="523"/>
      <c r="C101" s="56" t="s">
        <v>233</v>
      </c>
      <c r="D101" s="57" t="s">
        <v>234</v>
      </c>
      <c r="E101" s="57" t="s">
        <v>47</v>
      </c>
      <c r="F101" s="57" t="s">
        <v>37</v>
      </c>
      <c r="G101" s="58" t="s">
        <v>48</v>
      </c>
      <c r="H101" s="58" t="s">
        <v>235</v>
      </c>
    </row>
    <row r="102" spans="2:11" ht="38.25" x14ac:dyDescent="0.25">
      <c r="B102" s="59" t="s">
        <v>49</v>
      </c>
      <c r="C102" s="59">
        <v>11950</v>
      </c>
      <c r="D102" s="60" t="s">
        <v>987</v>
      </c>
      <c r="E102" s="59" t="s">
        <v>309</v>
      </c>
      <c r="F102" s="61">
        <v>2</v>
      </c>
      <c r="G102" s="214">
        <v>0.22</v>
      </c>
      <c r="H102" s="213">
        <f>G102*F102</f>
        <v>0.44</v>
      </c>
    </row>
    <row r="103" spans="2:11" ht="25.5" x14ac:dyDescent="0.25">
      <c r="B103" s="59" t="s">
        <v>49</v>
      </c>
      <c r="C103" s="59">
        <v>2596</v>
      </c>
      <c r="D103" s="60" t="s">
        <v>1071</v>
      </c>
      <c r="E103" s="59" t="s">
        <v>309</v>
      </c>
      <c r="F103" s="61">
        <v>1</v>
      </c>
      <c r="G103" s="214">
        <v>59.57</v>
      </c>
      <c r="H103" s="213">
        <f t="shared" ref="H103:H105" si="6">G103*F103</f>
        <v>59.57</v>
      </c>
    </row>
    <row r="104" spans="2:11" ht="12.75" x14ac:dyDescent="0.25">
      <c r="B104" s="59" t="s">
        <v>296</v>
      </c>
      <c r="C104" s="59">
        <v>88247</v>
      </c>
      <c r="D104" s="60" t="s">
        <v>465</v>
      </c>
      <c r="E104" s="59" t="s">
        <v>54</v>
      </c>
      <c r="F104" s="61">
        <f>1.5*0.4872</f>
        <v>0.73080000000000001</v>
      </c>
      <c r="G104" s="214">
        <f>G97</f>
        <v>18.809999999999999</v>
      </c>
      <c r="H104" s="213">
        <f t="shared" si="6"/>
        <v>13.746</v>
      </c>
      <c r="K104" s="38"/>
    </row>
    <row r="105" spans="2:11" ht="12.75" x14ac:dyDescent="0.25">
      <c r="B105" s="59" t="s">
        <v>296</v>
      </c>
      <c r="C105" s="59">
        <v>88264</v>
      </c>
      <c r="D105" s="60" t="s">
        <v>466</v>
      </c>
      <c r="E105" s="59" t="s">
        <v>54</v>
      </c>
      <c r="F105" s="61">
        <f>1.5*0.4872</f>
        <v>0.73080000000000001</v>
      </c>
      <c r="G105" s="214">
        <f>G96</f>
        <v>22.67</v>
      </c>
      <c r="H105" s="213">
        <f t="shared" si="6"/>
        <v>16.567</v>
      </c>
      <c r="K105" s="38"/>
    </row>
    <row r="106" spans="2:11" ht="12.75" x14ac:dyDescent="0.25">
      <c r="B106" s="524" t="s">
        <v>1070</v>
      </c>
      <c r="C106" s="524"/>
      <c r="D106" s="524"/>
      <c r="E106" s="161"/>
      <c r="F106" s="159"/>
      <c r="G106" s="160" t="s">
        <v>5</v>
      </c>
      <c r="H106" s="242">
        <f>SUM(H101:H105)</f>
        <v>90.32</v>
      </c>
      <c r="K106" s="38"/>
    </row>
    <row r="107" spans="2:11" ht="12.75" x14ac:dyDescent="0.25">
      <c r="B107" s="25"/>
      <c r="C107" s="25"/>
      <c r="D107" s="25"/>
      <c r="E107" s="25"/>
      <c r="F107" s="27"/>
      <c r="G107" s="62"/>
      <c r="H107" s="157"/>
      <c r="K107" s="38"/>
    </row>
    <row r="108" spans="2:11" ht="27" customHeight="1" x14ac:dyDescent="0.25">
      <c r="B108" s="523" t="s">
        <v>1055</v>
      </c>
      <c r="C108" s="523" t="s">
        <v>1056</v>
      </c>
      <c r="D108" s="523"/>
      <c r="E108" s="523"/>
      <c r="F108" s="523"/>
      <c r="G108" s="523"/>
      <c r="H108" s="96" t="s">
        <v>251</v>
      </c>
      <c r="K108" s="38"/>
    </row>
    <row r="109" spans="2:11" ht="12.75" x14ac:dyDescent="0.25">
      <c r="B109" s="523"/>
      <c r="C109" s="56" t="s">
        <v>233</v>
      </c>
      <c r="D109" s="57" t="s">
        <v>234</v>
      </c>
      <c r="E109" s="57" t="s">
        <v>47</v>
      </c>
      <c r="F109" s="57" t="s">
        <v>37</v>
      </c>
      <c r="G109" s="58" t="s">
        <v>48</v>
      </c>
      <c r="H109" s="58" t="s">
        <v>235</v>
      </c>
      <c r="K109" s="38"/>
    </row>
    <row r="110" spans="2:11" ht="38.25" x14ac:dyDescent="0.25">
      <c r="B110" s="27" t="s">
        <v>50</v>
      </c>
      <c r="C110" s="27">
        <v>92767</v>
      </c>
      <c r="D110" s="25" t="s">
        <v>1045</v>
      </c>
      <c r="E110" s="27" t="s">
        <v>1046</v>
      </c>
      <c r="F110" s="101">
        <v>1.2110000000000001</v>
      </c>
      <c r="G110" s="62">
        <v>16.87</v>
      </c>
      <c r="H110" s="157">
        <f>G110*F110</f>
        <v>20.43</v>
      </c>
      <c r="K110" s="38"/>
    </row>
    <row r="111" spans="2:11" ht="25.5" x14ac:dyDescent="0.25">
      <c r="B111" s="27" t="s">
        <v>50</v>
      </c>
      <c r="C111" s="27">
        <v>92273</v>
      </c>
      <c r="D111" s="25" t="s">
        <v>1047</v>
      </c>
      <c r="E111" s="27" t="s">
        <v>248</v>
      </c>
      <c r="F111" s="101">
        <v>0.97</v>
      </c>
      <c r="G111" s="62">
        <v>20.49</v>
      </c>
      <c r="H111" s="157">
        <f t="shared" ref="H111:H118" si="7">G111*F111</f>
        <v>19.88</v>
      </c>
      <c r="K111" s="38"/>
    </row>
    <row r="112" spans="2:11" ht="12.75" x14ac:dyDescent="0.25">
      <c r="B112" s="27" t="s">
        <v>49</v>
      </c>
      <c r="C112" s="27">
        <v>40304</v>
      </c>
      <c r="D112" s="25" t="s">
        <v>1048</v>
      </c>
      <c r="E112" s="27" t="s">
        <v>253</v>
      </c>
      <c r="F112" s="101">
        <v>0.04</v>
      </c>
      <c r="G112" s="62">
        <v>31.36</v>
      </c>
      <c r="H112" s="157">
        <f t="shared" si="7"/>
        <v>1.25</v>
      </c>
      <c r="K112" s="38"/>
    </row>
    <row r="113" spans="2:11" ht="12.75" x14ac:dyDescent="0.25">
      <c r="B113" s="27" t="s">
        <v>50</v>
      </c>
      <c r="C113" s="27">
        <v>88316</v>
      </c>
      <c r="D113" s="25" t="s">
        <v>255</v>
      </c>
      <c r="E113" s="27" t="s">
        <v>54</v>
      </c>
      <c r="F113" s="101">
        <v>0.32200000000000001</v>
      </c>
      <c r="G113" s="62">
        <v>17.420000000000002</v>
      </c>
      <c r="H113" s="157">
        <f t="shared" si="7"/>
        <v>5.61</v>
      </c>
      <c r="K113" s="38"/>
    </row>
    <row r="114" spans="2:11" x14ac:dyDescent="0.25">
      <c r="B114" s="27" t="s">
        <v>50</v>
      </c>
      <c r="C114" s="27">
        <v>88262</v>
      </c>
      <c r="D114" s="25" t="s">
        <v>254</v>
      </c>
      <c r="E114" s="27" t="s">
        <v>54</v>
      </c>
      <c r="F114" s="101">
        <v>0.45600000000000002</v>
      </c>
      <c r="G114" s="62">
        <v>21.48</v>
      </c>
      <c r="H114" s="157">
        <f t="shared" si="7"/>
        <v>9.7899999999999991</v>
      </c>
    </row>
    <row r="115" spans="2:11" ht="25.5" x14ac:dyDescent="0.25">
      <c r="B115" s="27" t="s">
        <v>49</v>
      </c>
      <c r="C115" s="27">
        <v>6193</v>
      </c>
      <c r="D115" s="25" t="s">
        <v>1049</v>
      </c>
      <c r="E115" s="27" t="s">
        <v>248</v>
      </c>
      <c r="F115" s="101">
        <v>1.87</v>
      </c>
      <c r="G115" s="62">
        <v>16.600000000000001</v>
      </c>
      <c r="H115" s="157">
        <f t="shared" si="7"/>
        <v>31.04</v>
      </c>
    </row>
    <row r="116" spans="2:11" ht="38.25" x14ac:dyDescent="0.25">
      <c r="B116" s="27" t="s">
        <v>49</v>
      </c>
      <c r="C116" s="27">
        <v>3742</v>
      </c>
      <c r="D116" s="34" t="s">
        <v>1052</v>
      </c>
      <c r="E116" s="27" t="s">
        <v>251</v>
      </c>
      <c r="F116" s="101">
        <f>0.09*1</f>
        <v>0.09</v>
      </c>
      <c r="G116" s="62">
        <v>107.8</v>
      </c>
      <c r="H116" s="157">
        <f t="shared" si="7"/>
        <v>9.6999999999999993</v>
      </c>
    </row>
    <row r="117" spans="2:11" x14ac:dyDescent="0.25">
      <c r="B117" s="27" t="s">
        <v>49</v>
      </c>
      <c r="C117" s="27">
        <v>39995</v>
      </c>
      <c r="D117" s="34" t="s">
        <v>1053</v>
      </c>
      <c r="E117" s="27" t="s">
        <v>257</v>
      </c>
      <c r="F117" s="101">
        <f>0.3*0.08*1</f>
        <v>2.4E-2</v>
      </c>
      <c r="G117" s="62">
        <v>641.02</v>
      </c>
      <c r="H117" s="157">
        <f t="shared" si="7"/>
        <v>15.38</v>
      </c>
    </row>
    <row r="118" spans="2:11" ht="38.25" x14ac:dyDescent="0.25">
      <c r="B118" s="27" t="s">
        <v>50</v>
      </c>
      <c r="C118" s="21">
        <v>103675</v>
      </c>
      <c r="D118" s="29" t="s">
        <v>1054</v>
      </c>
      <c r="E118" s="48" t="s">
        <v>257</v>
      </c>
      <c r="F118" s="101">
        <v>7.8E-2</v>
      </c>
      <c r="G118" s="62">
        <v>880.21</v>
      </c>
      <c r="H118" s="157">
        <f t="shared" si="7"/>
        <v>68.66</v>
      </c>
    </row>
    <row r="119" spans="2:11" x14ac:dyDescent="0.25">
      <c r="B119" s="524" t="s">
        <v>1051</v>
      </c>
      <c r="C119" s="524"/>
      <c r="D119" s="524"/>
      <c r="E119" s="161"/>
      <c r="F119" s="159"/>
      <c r="G119" s="160" t="s">
        <v>5</v>
      </c>
      <c r="H119" s="242">
        <f>SUM(H110:H118)</f>
        <v>181.74</v>
      </c>
    </row>
    <row r="121" spans="2:11" x14ac:dyDescent="0.25">
      <c r="D121" s="241"/>
      <c r="F121" s="15"/>
      <c r="H121" s="249" t="str">
        <f>'PLANILHA ORÇAMENTÁRIA'!I461</f>
        <v>ARIPUANÃ - MT, 04 de Abril de 2023.</v>
      </c>
    </row>
    <row r="122" spans="2:11" x14ac:dyDescent="0.25">
      <c r="D122" s="241"/>
      <c r="F122" s="15"/>
      <c r="H122" s="15"/>
    </row>
    <row r="123" spans="2:11" ht="90" customHeight="1" x14ac:dyDescent="0.25">
      <c r="B123" s="396" t="str">
        <f>'PMA ESQ'!B304</f>
        <v xml:space="preserve">
FLÁVIA MARIA COSTA
ENG. CIVIL - CREA/MT 031403</v>
      </c>
      <c r="C123" s="396"/>
      <c r="D123" s="396"/>
      <c r="E123" s="396"/>
      <c r="F123" s="396"/>
      <c r="G123" s="396"/>
      <c r="H123" s="396"/>
    </row>
    <row r="124" spans="2:11" x14ac:dyDescent="0.25">
      <c r="D124" s="241"/>
      <c r="F124" s="15"/>
      <c r="H124" s="15"/>
    </row>
    <row r="125" spans="2:11" x14ac:dyDescent="0.25">
      <c r="D125" s="241"/>
      <c r="F125" s="15"/>
      <c r="H125" s="15"/>
    </row>
    <row r="126" spans="2:11" x14ac:dyDescent="0.25">
      <c r="D126" s="241"/>
      <c r="F126" s="15"/>
      <c r="H126" s="15"/>
    </row>
    <row r="127" spans="2:11" x14ac:dyDescent="0.25">
      <c r="D127" s="241"/>
      <c r="F127" s="15"/>
      <c r="H127" s="15"/>
    </row>
    <row r="128" spans="2:11" x14ac:dyDescent="0.25">
      <c r="D128" s="241"/>
      <c r="F128" s="15"/>
      <c r="H128" s="15"/>
    </row>
    <row r="129" spans="4:8" x14ac:dyDescent="0.25">
      <c r="D129" s="241"/>
      <c r="F129" s="15"/>
      <c r="H129" s="15"/>
    </row>
  </sheetData>
  <mergeCells count="56">
    <mergeCell ref="B119:D119"/>
    <mergeCell ref="B98:D98"/>
    <mergeCell ref="B100:B101"/>
    <mergeCell ref="C100:G100"/>
    <mergeCell ref="B106:D106"/>
    <mergeCell ref="B108:B109"/>
    <mergeCell ref="C108:G108"/>
    <mergeCell ref="B76:D76"/>
    <mergeCell ref="B78:B79"/>
    <mergeCell ref="C78:G78"/>
    <mergeCell ref="B87:D87"/>
    <mergeCell ref="B89:B90"/>
    <mergeCell ref="C89:G89"/>
    <mergeCell ref="B61:D61"/>
    <mergeCell ref="B62:H62"/>
    <mergeCell ref="B63:B64"/>
    <mergeCell ref="C63:G63"/>
    <mergeCell ref="B67:D67"/>
    <mergeCell ref="B20:B21"/>
    <mergeCell ref="C20:G20"/>
    <mergeCell ref="C42:G42"/>
    <mergeCell ref="B47:D47"/>
    <mergeCell ref="B48:H48"/>
    <mergeCell ref="B27:F27"/>
    <mergeCell ref="B28:H28"/>
    <mergeCell ref="B33:D33"/>
    <mergeCell ref="C29:G29"/>
    <mergeCell ref="B29:B30"/>
    <mergeCell ref="B3:H3"/>
    <mergeCell ref="F7:H7"/>
    <mergeCell ref="B19:H19"/>
    <mergeCell ref="B9:B10"/>
    <mergeCell ref="C6:D6"/>
    <mergeCell ref="B18:D18"/>
    <mergeCell ref="C7:D7"/>
    <mergeCell ref="B8:H8"/>
    <mergeCell ref="C9:G9"/>
    <mergeCell ref="C4:E4"/>
    <mergeCell ref="C5:E5"/>
    <mergeCell ref="F4:H5"/>
    <mergeCell ref="B123:H123"/>
    <mergeCell ref="B57:H57"/>
    <mergeCell ref="B49:B50"/>
    <mergeCell ref="C49:G49"/>
    <mergeCell ref="B34:H34"/>
    <mergeCell ref="C35:G35"/>
    <mergeCell ref="B42:B43"/>
    <mergeCell ref="B40:D40"/>
    <mergeCell ref="B41:H41"/>
    <mergeCell ref="B35:B36"/>
    <mergeCell ref="B56:D56"/>
    <mergeCell ref="B69:B70"/>
    <mergeCell ref="C69:G69"/>
    <mergeCell ref="B58:B59"/>
    <mergeCell ref="C58:G58"/>
    <mergeCell ref="B68:H68"/>
  </mergeCells>
  <conditionalFormatting sqref="L33:O38">
    <cfRule type="expression" dxfId="599" priority="381" stopIfTrue="1">
      <formula>AND($A35&lt;&gt;"COMPOSICAO",$A35&lt;&gt;"INSUMO",$A35&lt;&gt;"")</formula>
    </cfRule>
    <cfRule type="expression" dxfId="598" priority="382" stopIfTrue="1">
      <formula>AND(OR($A35="COMPOSICAO",$A35="INSUMO",$A35&lt;&gt;""),$A35&lt;&gt;"")</formula>
    </cfRule>
  </conditionalFormatting>
  <conditionalFormatting sqref="L42:O47">
    <cfRule type="expression" dxfId="597" priority="17" stopIfTrue="1">
      <formula>AND($A33&lt;&gt;"COMPOSICAO",$A33&lt;&gt;"INSUMO",$A33&lt;&gt;"")</formula>
    </cfRule>
    <cfRule type="expression" dxfId="596" priority="18" stopIfTrue="1">
      <formula>AND(OR($A33="COMPOSICAO",$A33="INSUMO",$A33&lt;&gt;""),$A33&lt;&gt;"")</formula>
    </cfRule>
  </conditionalFormatting>
  <conditionalFormatting sqref="B102:G105 B80:G86">
    <cfRule type="expression" dxfId="595" priority="9" stopIfTrue="1">
      <formula>AND($A64&lt;&gt;"COMPOSIÇÃO",$A64&lt;&gt;"INSUMO",$A64&lt;&gt;"")</formula>
    </cfRule>
    <cfRule type="expression" dxfId="594" priority="10" stopIfTrue="1">
      <formula>AND(OR($A64="COMPOSIÇÃO",$A64="INSUMO",$A64&lt;&gt;""),$A64&lt;&gt;"")</formula>
    </cfRule>
  </conditionalFormatting>
  <conditionalFormatting sqref="B91:G97">
    <cfRule type="expression" dxfId="593" priority="3" stopIfTrue="1">
      <formula>AND($A75&lt;&gt;"COMPOSIÇÃO",$A75&lt;&gt;"INSUMO",$A75&lt;&gt;"")</formula>
    </cfRule>
    <cfRule type="expression" dxfId="592" priority="4" stopIfTrue="1">
      <formula>AND(OR($A75="COMPOSIÇÃO",$A75="INSUMO",$A75&lt;&gt;""),$A75&lt;&gt;"")</formula>
    </cfRule>
  </conditionalFormatting>
  <pageMargins left="0.511811024" right="0.511811024" top="0.78740157499999996" bottom="0.78740157499999996" header="0.31496062000000002" footer="0.31496062000000002"/>
  <pageSetup paperSize="9" scale="6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3:U304"/>
  <sheetViews>
    <sheetView zoomScaleNormal="100" zoomScaleSheetLayoutView="85" workbookViewId="0">
      <selection activeCell="B8" sqref="B8:H8"/>
    </sheetView>
  </sheetViews>
  <sheetFormatPr defaultColWidth="9.140625" defaultRowHeight="12.75" x14ac:dyDescent="0.2"/>
  <cols>
    <col min="1" max="1" width="9.140625" style="8"/>
    <col min="2" max="2" width="14.28515625" style="8" customWidth="1"/>
    <col min="3" max="3" width="12" style="8" customWidth="1"/>
    <col min="4" max="4" width="60.5703125" style="8" customWidth="1"/>
    <col min="5" max="5" width="9.140625" style="8"/>
    <col min="6" max="6" width="11.85546875" style="8" customWidth="1"/>
    <col min="7" max="7" width="12" style="8" customWidth="1"/>
    <col min="8" max="8" width="13.7109375" style="8" customWidth="1"/>
    <col min="9" max="9" width="4" style="8" customWidth="1"/>
    <col min="10" max="10" width="16.140625" style="8" customWidth="1"/>
    <col min="11" max="11" width="26.42578125" style="8" customWidth="1"/>
    <col min="12" max="12" width="11.85546875" style="8" bestFit="1" customWidth="1"/>
    <col min="13" max="13" width="67.42578125" style="8" customWidth="1"/>
    <col min="14" max="21" width="10.7109375" style="8" customWidth="1"/>
    <col min="22" max="16384" width="9.140625" style="8"/>
  </cols>
  <sheetData>
    <row r="3" spans="2:10" ht="92.1" customHeight="1" x14ac:dyDescent="0.2">
      <c r="B3" s="526" t="str">
        <f>'PLANILHA ORÇAMENTÁRIA'!B3</f>
        <v>PREFEITURA MUNICIPAL DE ARIPUANÃ - MT
DEPARTAMENTO DE ENGENHARIA CIVIL
Praça São Francisco de Assis, 128, Caixa Postal 91 – CEP 78.325-000, 
Aripuanã – MT, Fone : (66) 3565 – 3900
www.aripuana.mt.gov.br</v>
      </c>
      <c r="C3" s="526"/>
      <c r="D3" s="526"/>
      <c r="E3" s="526"/>
      <c r="F3" s="526"/>
      <c r="G3" s="526"/>
      <c r="H3" s="526"/>
    </row>
    <row r="4" spans="2:10" ht="13.15" customHeight="1" x14ac:dyDescent="0.2">
      <c r="B4" s="355" t="s">
        <v>239</v>
      </c>
      <c r="C4" s="538" t="str">
        <f>'PLANILHA ORÇAMENTÁRIA'!C4</f>
        <v>RECONSTRUÇÃO DA UNIDADE BÁSICA DE SAÚDE DO DISTRITO DE CONSELVAN</v>
      </c>
      <c r="D4" s="538"/>
      <c r="E4" s="538"/>
      <c r="F4" s="539" t="str">
        <f>'PMA ELE'!F4</f>
        <v>Coordenadas: 9°55'38"S 59°54'55"W</v>
      </c>
      <c r="G4" s="539"/>
      <c r="H4" s="539"/>
    </row>
    <row r="5" spans="2:10" ht="13.5" customHeight="1" x14ac:dyDescent="0.2">
      <c r="B5" s="53" t="s">
        <v>240</v>
      </c>
      <c r="C5" s="538" t="str">
        <f>'PLANILHA ORÇAMENTÁRIA'!C5</f>
        <v>RUA GUARANTÃ, S/N, DISTRITO DE CONSELVAN, ARIPUANÃ - MT</v>
      </c>
      <c r="D5" s="538"/>
      <c r="E5" s="538"/>
      <c r="F5" s="539"/>
      <c r="G5" s="539"/>
      <c r="H5" s="539"/>
    </row>
    <row r="6" spans="2:10" ht="13.5" customHeight="1" x14ac:dyDescent="0.2">
      <c r="B6" s="53" t="s">
        <v>242</v>
      </c>
      <c r="C6" s="531" t="str">
        <f>'PLANILHA ORÇAMENTÁRIA'!C6</f>
        <v>PREFEITURA MUNICIPAL DE ARIPUANÃ</v>
      </c>
      <c r="D6" s="532"/>
      <c r="E6" s="54" t="s">
        <v>44</v>
      </c>
      <c r="F6" s="297">
        <f>'MEMO CÁLCULO'!G7</f>
        <v>45020</v>
      </c>
      <c r="G6" s="193" t="s">
        <v>45</v>
      </c>
      <c r="H6" s="356">
        <f>BDI!D20</f>
        <v>0.27860000000000001</v>
      </c>
    </row>
    <row r="7" spans="2:10" ht="13.15" customHeight="1" x14ac:dyDescent="0.2">
      <c r="B7" s="53" t="s">
        <v>241</v>
      </c>
      <c r="C7" s="549">
        <f>'PLANILHA ORÇAMENTÁRIA'!C7</f>
        <v>3496715.07</v>
      </c>
      <c r="D7" s="550"/>
      <c r="E7" s="81" t="s">
        <v>264</v>
      </c>
      <c r="F7" s="551" t="str">
        <f>'PLANILHA ORÇAMENTÁRIA'!H6</f>
        <v xml:space="preserve">REF.: SINAPI FEV/2023 (DESONERADA)                                      </v>
      </c>
      <c r="G7" s="552"/>
      <c r="H7" s="553"/>
    </row>
    <row r="8" spans="2:10" ht="20.100000000000001" customHeight="1" thickBot="1" x14ac:dyDescent="0.25">
      <c r="B8" s="608" t="s">
        <v>46</v>
      </c>
      <c r="C8" s="609"/>
      <c r="D8" s="609"/>
      <c r="E8" s="609"/>
      <c r="F8" s="609"/>
      <c r="G8" s="609"/>
      <c r="H8" s="610"/>
    </row>
    <row r="9" spans="2:10" ht="25.5" customHeight="1" thickTop="1" x14ac:dyDescent="0.2">
      <c r="B9" s="530" t="s">
        <v>535</v>
      </c>
      <c r="C9" s="554" t="s">
        <v>722</v>
      </c>
      <c r="D9" s="530"/>
      <c r="E9" s="530"/>
      <c r="F9" s="530"/>
      <c r="G9" s="530"/>
      <c r="H9" s="182" t="s">
        <v>251</v>
      </c>
      <c r="J9" s="8" t="s">
        <v>975</v>
      </c>
    </row>
    <row r="10" spans="2:10" ht="15" customHeight="1" x14ac:dyDescent="0.2">
      <c r="B10" s="523"/>
      <c r="C10" s="56" t="s">
        <v>233</v>
      </c>
      <c r="D10" s="57" t="s">
        <v>234</v>
      </c>
      <c r="E10" s="57" t="s">
        <v>47</v>
      </c>
      <c r="F10" s="57" t="s">
        <v>37</v>
      </c>
      <c r="G10" s="58" t="s">
        <v>48</v>
      </c>
      <c r="H10" s="58" t="s">
        <v>235</v>
      </c>
      <c r="J10" s="8" t="s">
        <v>975</v>
      </c>
    </row>
    <row r="11" spans="2:10" x14ac:dyDescent="0.2">
      <c r="B11" s="59" t="s">
        <v>296</v>
      </c>
      <c r="C11" s="59">
        <v>88325</v>
      </c>
      <c r="D11" s="60" t="s">
        <v>719</v>
      </c>
      <c r="E11" s="59" t="s">
        <v>54</v>
      </c>
      <c r="F11" s="61">
        <v>2.3860000000000001</v>
      </c>
      <c r="G11" s="62">
        <v>19.420000000000002</v>
      </c>
      <c r="H11" s="157">
        <f>G11*F11</f>
        <v>46.34</v>
      </c>
      <c r="J11" s="8" t="s">
        <v>975</v>
      </c>
    </row>
    <row r="12" spans="2:10" x14ac:dyDescent="0.2">
      <c r="B12" s="59" t="s">
        <v>296</v>
      </c>
      <c r="C12" s="59">
        <v>88316</v>
      </c>
      <c r="D12" s="60" t="s">
        <v>255</v>
      </c>
      <c r="E12" s="59" t="s">
        <v>54</v>
      </c>
      <c r="F12" s="61">
        <v>1.1930000000000001</v>
      </c>
      <c r="G12" s="62">
        <v>17.420000000000002</v>
      </c>
      <c r="H12" s="157">
        <f t="shared" ref="H12:H17" si="0">G12*F12</f>
        <v>20.78</v>
      </c>
      <c r="J12" s="8" t="s">
        <v>975</v>
      </c>
    </row>
    <row r="13" spans="2:10" ht="25.5" x14ac:dyDescent="0.2">
      <c r="B13" s="59" t="s">
        <v>296</v>
      </c>
      <c r="C13" s="59">
        <v>91692</v>
      </c>
      <c r="D13" s="60" t="s">
        <v>720</v>
      </c>
      <c r="E13" s="59" t="s">
        <v>289</v>
      </c>
      <c r="F13" s="61">
        <v>0.14499999999999999</v>
      </c>
      <c r="G13" s="62">
        <v>18.190000000000001</v>
      </c>
      <c r="H13" s="157">
        <f t="shared" si="0"/>
        <v>2.64</v>
      </c>
      <c r="J13" s="8" t="s">
        <v>975</v>
      </c>
    </row>
    <row r="14" spans="2:10" ht="25.5" x14ac:dyDescent="0.2">
      <c r="B14" s="59" t="s">
        <v>296</v>
      </c>
      <c r="C14" s="59">
        <v>91693</v>
      </c>
      <c r="D14" s="60" t="s">
        <v>721</v>
      </c>
      <c r="E14" s="59" t="s">
        <v>667</v>
      </c>
      <c r="F14" s="61">
        <v>2.2410000000000001</v>
      </c>
      <c r="G14" s="62">
        <v>16.690000000000001</v>
      </c>
      <c r="H14" s="157">
        <f t="shared" si="0"/>
        <v>37.4</v>
      </c>
      <c r="J14" s="8" t="s">
        <v>975</v>
      </c>
    </row>
    <row r="15" spans="2:10" s="149" customFormat="1" x14ac:dyDescent="0.2">
      <c r="B15" s="65" t="s">
        <v>49</v>
      </c>
      <c r="C15" s="65">
        <v>10506</v>
      </c>
      <c r="D15" s="150" t="s">
        <v>826</v>
      </c>
      <c r="E15" s="65" t="s">
        <v>251</v>
      </c>
      <c r="F15" s="67">
        <v>1</v>
      </c>
      <c r="G15" s="68">
        <v>311.52</v>
      </c>
      <c r="H15" s="183">
        <f>G15*F15</f>
        <v>311.52</v>
      </c>
      <c r="J15" s="8" t="s">
        <v>975</v>
      </c>
    </row>
    <row r="16" spans="2:10" s="149" customFormat="1" ht="38.25" x14ac:dyDescent="0.2">
      <c r="B16" s="65" t="s">
        <v>49</v>
      </c>
      <c r="C16" s="65">
        <v>36888</v>
      </c>
      <c r="D16" s="66" t="s">
        <v>964</v>
      </c>
      <c r="E16" s="65" t="s">
        <v>248</v>
      </c>
      <c r="F16" s="67">
        <v>8</v>
      </c>
      <c r="G16" s="68">
        <v>30.59</v>
      </c>
      <c r="H16" s="183">
        <f>G16*F16</f>
        <v>244.72</v>
      </c>
      <c r="J16" s="8" t="s">
        <v>975</v>
      </c>
    </row>
    <row r="17" spans="2:20" ht="14.25" customHeight="1" x14ac:dyDescent="0.2">
      <c r="B17" s="59" t="s">
        <v>49</v>
      </c>
      <c r="C17" s="59">
        <v>39961</v>
      </c>
      <c r="D17" s="60" t="s">
        <v>723</v>
      </c>
      <c r="E17" s="59" t="s">
        <v>309</v>
      </c>
      <c r="F17" s="61">
        <v>0.64</v>
      </c>
      <c r="G17" s="62">
        <v>27.57</v>
      </c>
      <c r="H17" s="157">
        <f t="shared" si="0"/>
        <v>17.64</v>
      </c>
      <c r="J17" s="8" t="s">
        <v>975</v>
      </c>
    </row>
    <row r="18" spans="2:20" x14ac:dyDescent="0.2">
      <c r="B18" s="545"/>
      <c r="C18" s="545"/>
      <c r="D18" s="545"/>
      <c r="E18" s="156"/>
      <c r="F18" s="546" t="s">
        <v>395</v>
      </c>
      <c r="G18" s="546"/>
      <c r="H18" s="222">
        <f>SUM(H11:H17)</f>
        <v>681.04</v>
      </c>
      <c r="J18" s="8" t="s">
        <v>975</v>
      </c>
    </row>
    <row r="19" spans="2:20" ht="30" customHeight="1" x14ac:dyDescent="0.2">
      <c r="B19" s="540" t="s">
        <v>724</v>
      </c>
      <c r="C19" s="540"/>
      <c r="D19" s="540"/>
      <c r="E19" s="540"/>
      <c r="F19" s="540"/>
      <c r="G19" s="540"/>
      <c r="H19" s="96" t="s">
        <v>309</v>
      </c>
      <c r="J19" s="8" t="s">
        <v>975</v>
      </c>
    </row>
    <row r="20" spans="2:20" ht="38.25" x14ac:dyDescent="0.2">
      <c r="B20" s="59" t="s">
        <v>50</v>
      </c>
      <c r="C20" s="59" t="str">
        <f>B9</f>
        <v>PMA ESQ 001</v>
      </c>
      <c r="D20" s="158" t="str">
        <f>C9</f>
        <v>BOX FRONTAL DE CORRER, COM VIDRO TEMPERADO 8 MM, 190X100CM, 1 FOLHA FIXA, 1 FOLHA MÓVEL, PERFIS E FERRAGENS EM ALUMÍNIO. AF_01/2021</v>
      </c>
      <c r="E20" s="59" t="s">
        <v>251</v>
      </c>
      <c r="F20" s="59">
        <f>1.44*1.82</f>
        <v>2.6208</v>
      </c>
      <c r="G20" s="62">
        <f>H18</f>
        <v>681.04</v>
      </c>
      <c r="H20" s="157">
        <f>G20*F20</f>
        <v>1784.87</v>
      </c>
      <c r="J20" s="8" t="s">
        <v>975</v>
      </c>
    </row>
    <row r="21" spans="2:20" ht="14.45" customHeight="1" x14ac:dyDescent="0.2">
      <c r="B21" s="547" t="s">
        <v>725</v>
      </c>
      <c r="C21" s="547"/>
      <c r="D21" s="547"/>
      <c r="E21" s="217"/>
      <c r="F21" s="543" t="s">
        <v>1077</v>
      </c>
      <c r="G21" s="543"/>
      <c r="H21" s="216">
        <f>SUM(H20:H20)</f>
        <v>1784.87</v>
      </c>
      <c r="J21" s="8" t="s">
        <v>975</v>
      </c>
    </row>
    <row r="22" spans="2:20" x14ac:dyDescent="0.2">
      <c r="B22" s="522"/>
      <c r="C22" s="522"/>
      <c r="D22" s="522"/>
      <c r="E22" s="522"/>
      <c r="F22" s="522"/>
      <c r="G22" s="522"/>
      <c r="H22" s="522"/>
      <c r="J22" s="8" t="s">
        <v>975</v>
      </c>
    </row>
    <row r="23" spans="2:20" ht="25.5" customHeight="1" x14ac:dyDescent="0.2">
      <c r="B23" s="523" t="s">
        <v>726</v>
      </c>
      <c r="C23" s="540" t="s">
        <v>1089</v>
      </c>
      <c r="D23" s="523"/>
      <c r="E23" s="523"/>
      <c r="F23" s="523"/>
      <c r="G23" s="523"/>
      <c r="H23" s="96" t="s">
        <v>309</v>
      </c>
      <c r="J23" s="8" t="s">
        <v>975</v>
      </c>
    </row>
    <row r="24" spans="2:20" ht="15" customHeight="1" x14ac:dyDescent="0.2">
      <c r="B24" s="523"/>
      <c r="C24" s="56" t="s">
        <v>233</v>
      </c>
      <c r="D24" s="57" t="s">
        <v>234</v>
      </c>
      <c r="E24" s="57" t="s">
        <v>47</v>
      </c>
      <c r="F24" s="57" t="s">
        <v>37</v>
      </c>
      <c r="G24" s="58" t="s">
        <v>48</v>
      </c>
      <c r="H24" s="58" t="s">
        <v>235</v>
      </c>
      <c r="J24" s="8" t="s">
        <v>975</v>
      </c>
    </row>
    <row r="25" spans="2:20" ht="25.5" x14ac:dyDescent="0.2">
      <c r="B25" s="59" t="s">
        <v>50</v>
      </c>
      <c r="C25" s="59">
        <v>91338</v>
      </c>
      <c r="D25" s="60" t="s">
        <v>732</v>
      </c>
      <c r="E25" s="59" t="s">
        <v>251</v>
      </c>
      <c r="F25" s="59">
        <f>2.11*0.82</f>
        <v>1.7302</v>
      </c>
      <c r="G25" s="62">
        <v>877.22</v>
      </c>
      <c r="H25" s="157">
        <f>G25*F25</f>
        <v>1517.77</v>
      </c>
      <c r="J25" s="8" t="s">
        <v>975</v>
      </c>
    </row>
    <row r="26" spans="2:20" ht="13.5" customHeight="1" x14ac:dyDescent="0.2">
      <c r="B26" s="547" t="s">
        <v>733</v>
      </c>
      <c r="C26" s="547"/>
      <c r="D26" s="547"/>
      <c r="E26" s="217"/>
      <c r="F26" s="543" t="s">
        <v>1077</v>
      </c>
      <c r="G26" s="543"/>
      <c r="H26" s="216">
        <f>SUM(H25:H25)</f>
        <v>1517.77</v>
      </c>
      <c r="J26" s="8" t="s">
        <v>975</v>
      </c>
    </row>
    <row r="27" spans="2:20" ht="13.5" customHeight="1" x14ac:dyDescent="0.2">
      <c r="B27" s="522"/>
      <c r="C27" s="522"/>
      <c r="D27" s="522"/>
      <c r="E27" s="522"/>
      <c r="F27" s="522"/>
      <c r="G27" s="522"/>
      <c r="H27" s="522"/>
      <c r="J27" s="8" t="s">
        <v>975</v>
      </c>
    </row>
    <row r="28" spans="2:20" ht="25.5" customHeight="1" x14ac:dyDescent="0.2">
      <c r="B28" s="523" t="s">
        <v>734</v>
      </c>
      <c r="C28" s="540" t="s">
        <v>735</v>
      </c>
      <c r="D28" s="523"/>
      <c r="E28" s="523"/>
      <c r="F28" s="523"/>
      <c r="G28" s="523"/>
      <c r="H28" s="96" t="s">
        <v>309</v>
      </c>
      <c r="J28" s="8" t="s">
        <v>975</v>
      </c>
    </row>
    <row r="29" spans="2:20" ht="15" customHeight="1" x14ac:dyDescent="0.2">
      <c r="B29" s="523"/>
      <c r="C29" s="56" t="s">
        <v>233</v>
      </c>
      <c r="D29" s="57" t="s">
        <v>234</v>
      </c>
      <c r="E29" s="57" t="s">
        <v>47</v>
      </c>
      <c r="F29" s="57" t="s">
        <v>37</v>
      </c>
      <c r="G29" s="58" t="s">
        <v>48</v>
      </c>
      <c r="H29" s="58" t="s">
        <v>235</v>
      </c>
      <c r="J29" s="8" t="s">
        <v>975</v>
      </c>
      <c r="T29" s="8">
        <f>100/87</f>
        <v>1.14942528735632</v>
      </c>
    </row>
    <row r="30" spans="2:20" ht="25.5" x14ac:dyDescent="0.2">
      <c r="B30" s="59" t="s">
        <v>50</v>
      </c>
      <c r="C30" s="59">
        <v>91341</v>
      </c>
      <c r="D30" s="60" t="s">
        <v>732</v>
      </c>
      <c r="E30" s="59" t="s">
        <v>251</v>
      </c>
      <c r="F30" s="59">
        <f>2.11*0.82</f>
        <v>1.7302</v>
      </c>
      <c r="G30" s="62">
        <v>688.14</v>
      </c>
      <c r="H30" s="157">
        <f>G30*F30</f>
        <v>1190.6199999999999</v>
      </c>
      <c r="J30" s="8" t="s">
        <v>975</v>
      </c>
    </row>
    <row r="31" spans="2:20" ht="14.45" customHeight="1" x14ac:dyDescent="0.2">
      <c r="B31" s="547" t="s">
        <v>1079</v>
      </c>
      <c r="C31" s="547"/>
      <c r="D31" s="547"/>
      <c r="E31" s="217"/>
      <c r="F31" s="543" t="s">
        <v>1077</v>
      </c>
      <c r="G31" s="543"/>
      <c r="H31" s="216">
        <f>SUM(H30:H30)</f>
        <v>1190.6199999999999</v>
      </c>
      <c r="J31" s="8" t="s">
        <v>975</v>
      </c>
    </row>
    <row r="32" spans="2:20" x14ac:dyDescent="0.2">
      <c r="B32" s="522"/>
      <c r="C32" s="522"/>
      <c r="D32" s="522"/>
      <c r="E32" s="522"/>
      <c r="F32" s="522"/>
      <c r="G32" s="522"/>
      <c r="H32" s="522"/>
      <c r="J32" s="8" t="s">
        <v>975</v>
      </c>
      <c r="P32" s="63">
        <f>1-((87-60)/87)</f>
        <v>0.69</v>
      </c>
      <c r="R32" s="63">
        <f>1-((87-80)/87)</f>
        <v>0.92</v>
      </c>
      <c r="T32" s="63">
        <f>1+((100-87)/87)</f>
        <v>1.1499999999999999</v>
      </c>
    </row>
    <row r="33" spans="2:21" ht="25.5" customHeight="1" x14ac:dyDescent="0.2">
      <c r="B33" s="523" t="s">
        <v>737</v>
      </c>
      <c r="C33" s="540" t="s">
        <v>1098</v>
      </c>
      <c r="D33" s="523"/>
      <c r="E33" s="523"/>
      <c r="F33" s="523"/>
      <c r="G33" s="523"/>
      <c r="H33" s="96" t="s">
        <v>309</v>
      </c>
      <c r="J33" s="8" t="s">
        <v>975</v>
      </c>
      <c r="K33" s="73" t="s">
        <v>745</v>
      </c>
      <c r="L33" s="73">
        <v>94805</v>
      </c>
      <c r="M33" s="74" t="s">
        <v>739</v>
      </c>
      <c r="N33" s="73" t="s">
        <v>309</v>
      </c>
      <c r="O33" s="75" t="s">
        <v>741</v>
      </c>
      <c r="P33" s="75" t="s">
        <v>740</v>
      </c>
      <c r="Q33" s="76" t="s">
        <v>742</v>
      </c>
      <c r="R33" s="75" t="s">
        <v>744</v>
      </c>
      <c r="S33" s="76" t="s">
        <v>742</v>
      </c>
      <c r="T33" s="75" t="s">
        <v>747</v>
      </c>
      <c r="U33" s="76" t="s">
        <v>742</v>
      </c>
    </row>
    <row r="34" spans="2:21" ht="15" customHeight="1" x14ac:dyDescent="0.2">
      <c r="B34" s="523"/>
      <c r="C34" s="56" t="s">
        <v>233</v>
      </c>
      <c r="D34" s="57" t="s">
        <v>234</v>
      </c>
      <c r="E34" s="57" t="s">
        <v>47</v>
      </c>
      <c r="F34" s="57" t="s">
        <v>37</v>
      </c>
      <c r="G34" s="58" t="s">
        <v>48</v>
      </c>
      <c r="H34" s="58" t="s">
        <v>235</v>
      </c>
      <c r="J34" s="8" t="s">
        <v>975</v>
      </c>
      <c r="K34" s="77" t="s">
        <v>49</v>
      </c>
      <c r="L34" s="77">
        <v>142</v>
      </c>
      <c r="M34" s="78" t="s">
        <v>727</v>
      </c>
      <c r="N34" s="77" t="s">
        <v>728</v>
      </c>
      <c r="O34" s="77">
        <v>1.613</v>
      </c>
      <c r="P34" s="79">
        <f>O34*($P$32)</f>
        <v>1.1100000000000001</v>
      </c>
      <c r="Q34" s="79">
        <f>2*P34</f>
        <v>2.2200000000000002</v>
      </c>
      <c r="R34" s="79">
        <f>O34*($R$32)</f>
        <v>1.48</v>
      </c>
      <c r="S34" s="79">
        <f>2*R34</f>
        <v>2.96</v>
      </c>
      <c r="T34" s="79">
        <f>O34*($T$32)</f>
        <v>1.85</v>
      </c>
      <c r="U34" s="79">
        <f>2*T34</f>
        <v>3.7</v>
      </c>
    </row>
    <row r="35" spans="2:21" ht="25.5" customHeight="1" x14ac:dyDescent="0.2">
      <c r="B35" s="59" t="s">
        <v>49</v>
      </c>
      <c r="C35" s="59">
        <v>142</v>
      </c>
      <c r="D35" s="60" t="s">
        <v>727</v>
      </c>
      <c r="E35" s="59" t="s">
        <v>728</v>
      </c>
      <c r="F35" s="69">
        <v>2.2248000000000001</v>
      </c>
      <c r="G35" s="62">
        <v>41.72</v>
      </c>
      <c r="H35" s="157">
        <f>G35*F35</f>
        <v>92.82</v>
      </c>
      <c r="J35" s="8" t="s">
        <v>975</v>
      </c>
      <c r="K35" s="77" t="s">
        <v>49</v>
      </c>
      <c r="L35" s="77">
        <v>7568</v>
      </c>
      <c r="M35" s="78" t="s">
        <v>729</v>
      </c>
      <c r="N35" s="77" t="s">
        <v>309</v>
      </c>
      <c r="O35" s="77">
        <v>8.8000000000000007</v>
      </c>
      <c r="P35" s="79">
        <f>O35*($P$32)</f>
        <v>6.07</v>
      </c>
      <c r="Q35" s="80">
        <f t="shared" ref="Q35:S39" si="1">2*P35</f>
        <v>12.14</v>
      </c>
      <c r="R35" s="79">
        <f>O35*($R$32)</f>
        <v>8.1</v>
      </c>
      <c r="S35" s="80">
        <f t="shared" si="1"/>
        <v>16.2</v>
      </c>
      <c r="T35" s="79">
        <f>O35*($T$32)</f>
        <v>10.119999999999999</v>
      </c>
      <c r="U35" s="80">
        <f t="shared" ref="U35" si="2">2*T35</f>
        <v>20.239999999999998</v>
      </c>
    </row>
    <row r="36" spans="2:21" ht="38.25" customHeight="1" x14ac:dyDescent="0.2">
      <c r="B36" s="59" t="s">
        <v>49</v>
      </c>
      <c r="C36" s="59">
        <v>7568</v>
      </c>
      <c r="D36" s="60" t="s">
        <v>729</v>
      </c>
      <c r="E36" s="59" t="s">
        <v>309</v>
      </c>
      <c r="F36" s="69">
        <v>12.1379</v>
      </c>
      <c r="G36" s="62">
        <v>0.67</v>
      </c>
      <c r="H36" s="157">
        <f t="shared" ref="H36:H40" si="3">G36*F36</f>
        <v>8.1300000000000008</v>
      </c>
      <c r="J36" s="8" t="s">
        <v>975</v>
      </c>
      <c r="K36" s="77" t="s">
        <v>49</v>
      </c>
      <c r="L36" s="77">
        <v>39024</v>
      </c>
      <c r="M36" s="78" t="s">
        <v>738</v>
      </c>
      <c r="N36" s="77" t="s">
        <v>309</v>
      </c>
      <c r="O36" s="77">
        <v>1</v>
      </c>
      <c r="P36" s="79">
        <f>O36*($P$32)</f>
        <v>0.69</v>
      </c>
      <c r="Q36" s="80">
        <f t="shared" si="1"/>
        <v>1.38</v>
      </c>
      <c r="R36" s="79">
        <f>O36*($R$32)</f>
        <v>0.92</v>
      </c>
      <c r="S36" s="80">
        <f t="shared" si="1"/>
        <v>1.84</v>
      </c>
      <c r="T36" s="79">
        <f>O36*($T$32)</f>
        <v>1.1499999999999999</v>
      </c>
      <c r="U36" s="80">
        <f t="shared" ref="U36" si="4">2*T36</f>
        <v>2.2999999999999998</v>
      </c>
    </row>
    <row r="37" spans="2:21" ht="38.25" customHeight="1" x14ac:dyDescent="0.2">
      <c r="B37" s="65" t="s">
        <v>49</v>
      </c>
      <c r="C37" s="65">
        <v>4914</v>
      </c>
      <c r="D37" s="66" t="s">
        <v>1078</v>
      </c>
      <c r="E37" s="65" t="s">
        <v>251</v>
      </c>
      <c r="F37" s="72">
        <f>2.1*1.2</f>
        <v>2.52</v>
      </c>
      <c r="G37" s="68">
        <v>616.76</v>
      </c>
      <c r="H37" s="183">
        <f t="shared" si="3"/>
        <v>1554.24</v>
      </c>
      <c r="J37" s="8" t="s">
        <v>975</v>
      </c>
      <c r="K37" s="77" t="s">
        <v>296</v>
      </c>
      <c r="L37" s="77">
        <v>88309</v>
      </c>
      <c r="M37" s="78" t="s">
        <v>281</v>
      </c>
      <c r="N37" s="77" t="s">
        <v>54</v>
      </c>
      <c r="O37" s="77">
        <v>0.65100000000000002</v>
      </c>
      <c r="P37" s="79">
        <f>O37*($P$32)</f>
        <v>0.45</v>
      </c>
      <c r="Q37" s="80">
        <f t="shared" si="1"/>
        <v>0.9</v>
      </c>
      <c r="R37" s="79">
        <f>O37*$R$32</f>
        <v>0.6</v>
      </c>
      <c r="S37" s="80">
        <f t="shared" si="1"/>
        <v>1.2</v>
      </c>
      <c r="T37" s="79">
        <f>O37*$T$32</f>
        <v>0.75</v>
      </c>
      <c r="U37" s="80">
        <f t="shared" ref="U37" si="5">2*T37</f>
        <v>1.5</v>
      </c>
    </row>
    <row r="38" spans="2:21" ht="38.25" customHeight="1" x14ac:dyDescent="0.2">
      <c r="B38" s="65" t="s">
        <v>49</v>
      </c>
      <c r="C38" s="65">
        <v>36888</v>
      </c>
      <c r="D38" s="66" t="s">
        <v>964</v>
      </c>
      <c r="E38" s="65" t="s">
        <v>248</v>
      </c>
      <c r="F38" s="72">
        <f>(2.1+1.2+2.1)*2</f>
        <v>10.8</v>
      </c>
      <c r="G38" s="68">
        <v>30.59</v>
      </c>
      <c r="H38" s="183">
        <f t="shared" si="3"/>
        <v>330.37</v>
      </c>
      <c r="J38" s="8" t="s">
        <v>975</v>
      </c>
      <c r="K38" s="77"/>
      <c r="L38" s="77"/>
      <c r="M38" s="78"/>
      <c r="N38" s="77"/>
      <c r="O38" s="77"/>
      <c r="P38" s="79"/>
      <c r="Q38" s="80"/>
      <c r="R38" s="79"/>
      <c r="S38" s="80"/>
      <c r="T38" s="79"/>
      <c r="U38" s="80"/>
    </row>
    <row r="39" spans="2:21" ht="12.75" customHeight="1" x14ac:dyDescent="0.2">
      <c r="B39" s="59" t="s">
        <v>296</v>
      </c>
      <c r="C39" s="59">
        <v>88309</v>
      </c>
      <c r="D39" s="60" t="s">
        <v>281</v>
      </c>
      <c r="E39" s="59" t="s">
        <v>54</v>
      </c>
      <c r="F39" s="69">
        <v>0.89790000000000003</v>
      </c>
      <c r="G39" s="62">
        <v>21.83</v>
      </c>
      <c r="H39" s="183">
        <f t="shared" si="3"/>
        <v>19.600000000000001</v>
      </c>
      <c r="J39" s="8" t="s">
        <v>975</v>
      </c>
      <c r="K39" s="77" t="s">
        <v>296</v>
      </c>
      <c r="L39" s="77">
        <v>88316</v>
      </c>
      <c r="M39" s="78" t="s">
        <v>255</v>
      </c>
      <c r="N39" s="77" t="s">
        <v>54</v>
      </c>
      <c r="O39" s="77">
        <v>0.32500000000000001</v>
      </c>
      <c r="P39" s="79">
        <f>O39*($P$32)</f>
        <v>0.22</v>
      </c>
      <c r="Q39" s="80">
        <f t="shared" si="1"/>
        <v>0.44</v>
      </c>
      <c r="R39" s="79">
        <f>O39*$R$32</f>
        <v>0.3</v>
      </c>
      <c r="S39" s="80">
        <f t="shared" si="1"/>
        <v>0.6</v>
      </c>
      <c r="T39" s="79">
        <f>O39*$T$32</f>
        <v>0.37</v>
      </c>
      <c r="U39" s="80">
        <f t="shared" ref="U39" si="6">2*T39</f>
        <v>0.74</v>
      </c>
    </row>
    <row r="40" spans="2:21" ht="12.75" customHeight="1" x14ac:dyDescent="0.2">
      <c r="B40" s="59" t="s">
        <v>296</v>
      </c>
      <c r="C40" s="59">
        <v>88316</v>
      </c>
      <c r="D40" s="60" t="s">
        <v>255</v>
      </c>
      <c r="E40" s="59" t="s">
        <v>54</v>
      </c>
      <c r="F40" s="69">
        <v>0.44829999999999998</v>
      </c>
      <c r="G40" s="62">
        <v>17.420000000000002</v>
      </c>
      <c r="H40" s="183">
        <f t="shared" si="3"/>
        <v>7.81</v>
      </c>
      <c r="J40" s="8" t="s">
        <v>975</v>
      </c>
    </row>
    <row r="41" spans="2:21" ht="13.5" customHeight="1" x14ac:dyDescent="0.2">
      <c r="B41" s="547" t="s">
        <v>736</v>
      </c>
      <c r="C41" s="547"/>
      <c r="D41" s="547"/>
      <c r="E41" s="217"/>
      <c r="F41" s="543" t="s">
        <v>1077</v>
      </c>
      <c r="G41" s="543"/>
      <c r="H41" s="216">
        <f>SUM(H35:H40)</f>
        <v>2012.97</v>
      </c>
      <c r="J41" s="8" t="s">
        <v>975</v>
      </c>
    </row>
    <row r="42" spans="2:21" ht="13.15" customHeight="1" x14ac:dyDescent="0.2">
      <c r="B42" s="522"/>
      <c r="C42" s="522"/>
      <c r="D42" s="522"/>
      <c r="E42" s="522"/>
      <c r="F42" s="522"/>
      <c r="G42" s="522"/>
      <c r="H42" s="522"/>
      <c r="J42" s="8" t="s">
        <v>975</v>
      </c>
    </row>
    <row r="43" spans="2:21" ht="25.5" customHeight="1" x14ac:dyDescent="0.2">
      <c r="B43" s="523" t="s">
        <v>743</v>
      </c>
      <c r="C43" s="540" t="s">
        <v>1099</v>
      </c>
      <c r="D43" s="523"/>
      <c r="E43" s="523"/>
      <c r="F43" s="523"/>
      <c r="G43" s="523"/>
      <c r="H43" s="96" t="s">
        <v>309</v>
      </c>
      <c r="J43" s="8" t="s">
        <v>975</v>
      </c>
    </row>
    <row r="44" spans="2:21" ht="15" customHeight="1" x14ac:dyDescent="0.2">
      <c r="B44" s="523"/>
      <c r="C44" s="56" t="s">
        <v>233</v>
      </c>
      <c r="D44" s="57" t="s">
        <v>234</v>
      </c>
      <c r="E44" s="57" t="s">
        <v>47</v>
      </c>
      <c r="F44" s="57" t="s">
        <v>37</v>
      </c>
      <c r="G44" s="58" t="s">
        <v>48</v>
      </c>
      <c r="H44" s="58" t="s">
        <v>235</v>
      </c>
      <c r="J44" s="8" t="s">
        <v>975</v>
      </c>
    </row>
    <row r="45" spans="2:21" ht="12.75" customHeight="1" x14ac:dyDescent="0.2">
      <c r="B45" s="59" t="s">
        <v>49</v>
      </c>
      <c r="C45" s="59">
        <v>142</v>
      </c>
      <c r="D45" s="60" t="s">
        <v>727</v>
      </c>
      <c r="E45" s="59" t="s">
        <v>728</v>
      </c>
      <c r="F45" s="64">
        <v>2.97</v>
      </c>
      <c r="G45" s="62">
        <f>G35</f>
        <v>41.72</v>
      </c>
      <c r="H45" s="157">
        <f>G45*F45</f>
        <v>123.91</v>
      </c>
      <c r="J45" s="8" t="s">
        <v>975</v>
      </c>
    </row>
    <row r="46" spans="2:21" ht="38.25" x14ac:dyDescent="0.2">
      <c r="B46" s="59" t="s">
        <v>49</v>
      </c>
      <c r="C46" s="59">
        <v>7568</v>
      </c>
      <c r="D46" s="60" t="s">
        <v>729</v>
      </c>
      <c r="E46" s="59" t="s">
        <v>309</v>
      </c>
      <c r="F46" s="64">
        <v>16.18</v>
      </c>
      <c r="G46" s="62">
        <f t="shared" ref="G46:G50" si="7">G36</f>
        <v>0.67</v>
      </c>
      <c r="H46" s="157">
        <f t="shared" ref="H46:H50" si="8">G46*F46</f>
        <v>10.84</v>
      </c>
      <c r="J46" s="8" t="s">
        <v>975</v>
      </c>
    </row>
    <row r="47" spans="2:21" ht="38.25" x14ac:dyDescent="0.2">
      <c r="B47" s="65" t="s">
        <v>49</v>
      </c>
      <c r="C47" s="65">
        <v>4914</v>
      </c>
      <c r="D47" s="66" t="s">
        <v>1078</v>
      </c>
      <c r="E47" s="65" t="s">
        <v>251</v>
      </c>
      <c r="F47" s="151">
        <f>1.6*2.1</f>
        <v>3.36</v>
      </c>
      <c r="G47" s="62">
        <f>G37</f>
        <v>616.76</v>
      </c>
      <c r="H47" s="183">
        <f t="shared" si="8"/>
        <v>2072.31</v>
      </c>
      <c r="J47" s="8" t="s">
        <v>975</v>
      </c>
    </row>
    <row r="48" spans="2:21" ht="38.25" x14ac:dyDescent="0.2">
      <c r="B48" s="65" t="s">
        <v>49</v>
      </c>
      <c r="C48" s="65">
        <v>36888</v>
      </c>
      <c r="D48" s="66" t="s">
        <v>964</v>
      </c>
      <c r="E48" s="65" t="s">
        <v>248</v>
      </c>
      <c r="F48" s="151">
        <f>(2.1+1.6+2.1)*2</f>
        <v>11.6</v>
      </c>
      <c r="G48" s="62">
        <f t="shared" si="7"/>
        <v>30.59</v>
      </c>
      <c r="H48" s="183">
        <f t="shared" si="8"/>
        <v>354.84</v>
      </c>
      <c r="J48" s="8" t="s">
        <v>975</v>
      </c>
    </row>
    <row r="49" spans="2:10" x14ac:dyDescent="0.2">
      <c r="B49" s="59" t="s">
        <v>296</v>
      </c>
      <c r="C49" s="59">
        <v>88309</v>
      </c>
      <c r="D49" s="60" t="s">
        <v>281</v>
      </c>
      <c r="E49" s="59" t="s">
        <v>54</v>
      </c>
      <c r="F49" s="64">
        <v>1.2</v>
      </c>
      <c r="G49" s="62">
        <f t="shared" si="7"/>
        <v>21.83</v>
      </c>
      <c r="H49" s="157">
        <f t="shared" si="8"/>
        <v>26.2</v>
      </c>
      <c r="J49" s="8" t="s">
        <v>975</v>
      </c>
    </row>
    <row r="50" spans="2:10" x14ac:dyDescent="0.2">
      <c r="B50" s="59" t="s">
        <v>296</v>
      </c>
      <c r="C50" s="59">
        <v>88316</v>
      </c>
      <c r="D50" s="60" t="s">
        <v>255</v>
      </c>
      <c r="E50" s="59" t="s">
        <v>54</v>
      </c>
      <c r="F50" s="64">
        <v>0.6</v>
      </c>
      <c r="G50" s="62">
        <f t="shared" si="7"/>
        <v>17.420000000000002</v>
      </c>
      <c r="H50" s="157">
        <f t="shared" si="8"/>
        <v>10.45</v>
      </c>
      <c r="J50" s="8" t="s">
        <v>975</v>
      </c>
    </row>
    <row r="51" spans="2:10" ht="13.5" customHeight="1" x14ac:dyDescent="0.2">
      <c r="B51" s="547" t="s">
        <v>736</v>
      </c>
      <c r="C51" s="547"/>
      <c r="D51" s="547"/>
      <c r="E51" s="217"/>
      <c r="F51" s="543" t="s">
        <v>1077</v>
      </c>
      <c r="G51" s="543"/>
      <c r="H51" s="216">
        <f>SUM(H45:H50)</f>
        <v>2598.5500000000002</v>
      </c>
      <c r="J51" s="8" t="s">
        <v>975</v>
      </c>
    </row>
    <row r="52" spans="2:10" ht="13.5" customHeight="1" x14ac:dyDescent="0.2">
      <c r="B52" s="522"/>
      <c r="C52" s="522"/>
      <c r="D52" s="522"/>
      <c r="E52" s="522"/>
      <c r="F52" s="522"/>
      <c r="G52" s="522"/>
      <c r="H52" s="522"/>
      <c r="J52" s="8" t="s">
        <v>975</v>
      </c>
    </row>
    <row r="53" spans="2:10" ht="25.5" customHeight="1" x14ac:dyDescent="0.2">
      <c r="B53" s="523" t="s">
        <v>746</v>
      </c>
      <c r="C53" s="540" t="s">
        <v>1100</v>
      </c>
      <c r="D53" s="523"/>
      <c r="E53" s="523"/>
      <c r="F53" s="523"/>
      <c r="G53" s="523"/>
      <c r="H53" s="96" t="s">
        <v>309</v>
      </c>
      <c r="J53" s="8" t="s">
        <v>975</v>
      </c>
    </row>
    <row r="54" spans="2:10" ht="15" customHeight="1" x14ac:dyDescent="0.2">
      <c r="B54" s="523"/>
      <c r="C54" s="56" t="s">
        <v>233</v>
      </c>
      <c r="D54" s="57" t="s">
        <v>234</v>
      </c>
      <c r="E54" s="57" t="s">
        <v>47</v>
      </c>
      <c r="F54" s="57" t="s">
        <v>37</v>
      </c>
      <c r="G54" s="58" t="s">
        <v>48</v>
      </c>
      <c r="H54" s="58" t="s">
        <v>235</v>
      </c>
      <c r="J54" s="8" t="s">
        <v>975</v>
      </c>
    </row>
    <row r="55" spans="2:10" ht="25.5" x14ac:dyDescent="0.2">
      <c r="B55" s="59" t="s">
        <v>49</v>
      </c>
      <c r="C55" s="59">
        <v>142</v>
      </c>
      <c r="D55" s="60" t="s">
        <v>727</v>
      </c>
      <c r="E55" s="59" t="s">
        <v>728</v>
      </c>
      <c r="F55" s="64">
        <v>3.71</v>
      </c>
      <c r="G55" s="62">
        <f t="shared" ref="G55:G60" si="9">G45</f>
        <v>41.72</v>
      </c>
      <c r="H55" s="157">
        <f>G55*F55</f>
        <v>154.78</v>
      </c>
      <c r="J55" s="8" t="s">
        <v>975</v>
      </c>
    </row>
    <row r="56" spans="2:10" ht="38.25" x14ac:dyDescent="0.2">
      <c r="B56" s="59" t="s">
        <v>49</v>
      </c>
      <c r="C56" s="59">
        <v>7568</v>
      </c>
      <c r="D56" s="60" t="s">
        <v>729</v>
      </c>
      <c r="E56" s="59" t="s">
        <v>309</v>
      </c>
      <c r="F56" s="64">
        <v>20.23</v>
      </c>
      <c r="G56" s="62">
        <f t="shared" si="9"/>
        <v>0.67</v>
      </c>
      <c r="H56" s="157">
        <f t="shared" ref="H56:H60" si="10">G56*F56</f>
        <v>13.55</v>
      </c>
      <c r="J56" s="8" t="s">
        <v>975</v>
      </c>
    </row>
    <row r="57" spans="2:10" ht="38.25" x14ac:dyDescent="0.2">
      <c r="B57" s="59" t="s">
        <v>49</v>
      </c>
      <c r="C57" s="65">
        <v>4914</v>
      </c>
      <c r="D57" s="66" t="s">
        <v>1078</v>
      </c>
      <c r="E57" s="65" t="s">
        <v>251</v>
      </c>
      <c r="F57" s="151">
        <f>2*2.1</f>
        <v>4.2</v>
      </c>
      <c r="G57" s="68">
        <f t="shared" si="9"/>
        <v>616.76</v>
      </c>
      <c r="H57" s="183">
        <f t="shared" si="10"/>
        <v>2590.39</v>
      </c>
      <c r="J57" s="8" t="s">
        <v>975</v>
      </c>
    </row>
    <row r="58" spans="2:10" ht="38.25" x14ac:dyDescent="0.2">
      <c r="B58" s="65" t="s">
        <v>49</v>
      </c>
      <c r="C58" s="65">
        <v>36888</v>
      </c>
      <c r="D58" s="66" t="s">
        <v>964</v>
      </c>
      <c r="E58" s="65" t="s">
        <v>248</v>
      </c>
      <c r="F58" s="151">
        <f>(2.1+2+2.1)*2</f>
        <v>12.4</v>
      </c>
      <c r="G58" s="68">
        <f t="shared" si="9"/>
        <v>30.59</v>
      </c>
      <c r="H58" s="183">
        <f t="shared" si="10"/>
        <v>379.32</v>
      </c>
      <c r="J58" s="8" t="s">
        <v>975</v>
      </c>
    </row>
    <row r="59" spans="2:10" x14ac:dyDescent="0.2">
      <c r="B59" s="59" t="s">
        <v>296</v>
      </c>
      <c r="C59" s="59">
        <v>88309</v>
      </c>
      <c r="D59" s="60" t="s">
        <v>281</v>
      </c>
      <c r="E59" s="59" t="s">
        <v>54</v>
      </c>
      <c r="F59" s="64">
        <v>1.5</v>
      </c>
      <c r="G59" s="62">
        <f t="shared" si="9"/>
        <v>21.83</v>
      </c>
      <c r="H59" s="183">
        <f t="shared" si="10"/>
        <v>32.75</v>
      </c>
      <c r="J59" s="8" t="s">
        <v>975</v>
      </c>
    </row>
    <row r="60" spans="2:10" x14ac:dyDescent="0.2">
      <c r="B60" s="59" t="s">
        <v>296</v>
      </c>
      <c r="C60" s="59">
        <v>88316</v>
      </c>
      <c r="D60" s="60" t="s">
        <v>255</v>
      </c>
      <c r="E60" s="59" t="s">
        <v>54</v>
      </c>
      <c r="F60" s="64">
        <v>0.75</v>
      </c>
      <c r="G60" s="62">
        <f t="shared" si="9"/>
        <v>17.420000000000002</v>
      </c>
      <c r="H60" s="183">
        <f t="shared" si="10"/>
        <v>13.07</v>
      </c>
      <c r="J60" s="8" t="s">
        <v>975</v>
      </c>
    </row>
    <row r="61" spans="2:10" ht="15" customHeight="1" x14ac:dyDescent="0.2">
      <c r="B61" s="547" t="s">
        <v>736</v>
      </c>
      <c r="C61" s="547"/>
      <c r="D61" s="547"/>
      <c r="E61" s="217"/>
      <c r="F61" s="543" t="s">
        <v>1077</v>
      </c>
      <c r="G61" s="543"/>
      <c r="H61" s="216">
        <f>SUM(H55:H60)</f>
        <v>3183.86</v>
      </c>
      <c r="J61" s="8" t="s">
        <v>975</v>
      </c>
    </row>
    <row r="62" spans="2:10" x14ac:dyDescent="0.2">
      <c r="B62" s="544"/>
      <c r="C62" s="544"/>
      <c r="D62" s="544"/>
      <c r="E62" s="544"/>
      <c r="F62" s="544"/>
      <c r="G62" s="544"/>
      <c r="H62" s="544"/>
      <c r="J62" s="8" t="s">
        <v>975</v>
      </c>
    </row>
    <row r="63" spans="2:10" ht="25.5" customHeight="1" x14ac:dyDescent="0.2">
      <c r="B63" s="523" t="s">
        <v>748</v>
      </c>
      <c r="C63" s="540" t="s">
        <v>1080</v>
      </c>
      <c r="D63" s="523"/>
      <c r="E63" s="523"/>
      <c r="F63" s="523"/>
      <c r="G63" s="523"/>
      <c r="H63" s="96" t="s">
        <v>251</v>
      </c>
      <c r="I63" s="38"/>
      <c r="J63" s="8" t="s">
        <v>975</v>
      </c>
    </row>
    <row r="64" spans="2:10" ht="15" customHeight="1" x14ac:dyDescent="0.2">
      <c r="B64" s="523"/>
      <c r="C64" s="56" t="s">
        <v>233</v>
      </c>
      <c r="D64" s="57" t="s">
        <v>234</v>
      </c>
      <c r="E64" s="57" t="s">
        <v>47</v>
      </c>
      <c r="F64" s="57" t="s">
        <v>37</v>
      </c>
      <c r="G64" s="58" t="s">
        <v>48</v>
      </c>
      <c r="H64" s="58" t="s">
        <v>235</v>
      </c>
      <c r="J64" s="8" t="s">
        <v>975</v>
      </c>
    </row>
    <row r="65" spans="2:10" ht="25.5" x14ac:dyDescent="0.2">
      <c r="B65" s="59" t="s">
        <v>49</v>
      </c>
      <c r="C65" s="59">
        <v>142</v>
      </c>
      <c r="D65" s="60" t="s">
        <v>727</v>
      </c>
      <c r="E65" s="59" t="s">
        <v>728</v>
      </c>
      <c r="F65" s="59">
        <v>6.3700000000000007E-2</v>
      </c>
      <c r="G65" s="62">
        <f>G55</f>
        <v>41.72</v>
      </c>
      <c r="H65" s="157">
        <f>G65*F65</f>
        <v>2.66</v>
      </c>
      <c r="J65" s="8" t="s">
        <v>975</v>
      </c>
    </row>
    <row r="66" spans="2:10" ht="38.25" x14ac:dyDescent="0.2">
      <c r="B66" s="59" t="s">
        <v>49</v>
      </c>
      <c r="C66" s="70">
        <v>4922</v>
      </c>
      <c r="D66" s="71" t="s">
        <v>966</v>
      </c>
      <c r="E66" s="70" t="s">
        <v>251</v>
      </c>
      <c r="F66" s="70">
        <v>1.2</v>
      </c>
      <c r="G66" s="68">
        <v>395.1</v>
      </c>
      <c r="H66" s="183">
        <f t="shared" ref="H66:H70" si="11">G66*F66</f>
        <v>474.12</v>
      </c>
      <c r="J66" s="8" t="s">
        <v>975</v>
      </c>
    </row>
    <row r="67" spans="2:10" ht="38.25" x14ac:dyDescent="0.2">
      <c r="B67" s="59" t="s">
        <v>49</v>
      </c>
      <c r="C67" s="59">
        <v>7568</v>
      </c>
      <c r="D67" s="60" t="s">
        <v>729</v>
      </c>
      <c r="E67" s="59" t="s">
        <v>309</v>
      </c>
      <c r="F67" s="59">
        <v>4.72</v>
      </c>
      <c r="G67" s="62">
        <f>G56</f>
        <v>0.67</v>
      </c>
      <c r="H67" s="157">
        <f>G67*F67</f>
        <v>3.16</v>
      </c>
      <c r="J67" s="8" t="s">
        <v>975</v>
      </c>
    </row>
    <row r="68" spans="2:10" ht="25.5" x14ac:dyDescent="0.2">
      <c r="B68" s="65" t="s">
        <v>49</v>
      </c>
      <c r="C68" s="65">
        <v>36888</v>
      </c>
      <c r="D68" s="66" t="s">
        <v>730</v>
      </c>
      <c r="E68" s="65" t="s">
        <v>248</v>
      </c>
      <c r="F68" s="65">
        <v>8</v>
      </c>
      <c r="G68" s="68">
        <f>G58</f>
        <v>30.59</v>
      </c>
      <c r="H68" s="183">
        <f t="shared" si="11"/>
        <v>244.72</v>
      </c>
      <c r="J68" s="8" t="s">
        <v>975</v>
      </c>
    </row>
    <row r="69" spans="2:10" x14ac:dyDescent="0.2">
      <c r="B69" s="59" t="s">
        <v>296</v>
      </c>
      <c r="C69" s="59">
        <v>88309</v>
      </c>
      <c r="D69" s="60" t="s">
        <v>281</v>
      </c>
      <c r="E69" s="59" t="s">
        <v>54</v>
      </c>
      <c r="F69" s="59">
        <v>0.28199999999999997</v>
      </c>
      <c r="G69" s="62">
        <f>G59</f>
        <v>21.83</v>
      </c>
      <c r="H69" s="157">
        <f t="shared" si="11"/>
        <v>6.16</v>
      </c>
      <c r="J69" s="8" t="s">
        <v>975</v>
      </c>
    </row>
    <row r="70" spans="2:10" x14ac:dyDescent="0.2">
      <c r="B70" s="59" t="s">
        <v>296</v>
      </c>
      <c r="C70" s="59">
        <v>88316</v>
      </c>
      <c r="D70" s="60" t="s">
        <v>255</v>
      </c>
      <c r="E70" s="59" t="s">
        <v>54</v>
      </c>
      <c r="F70" s="59">
        <v>0.14099999999999999</v>
      </c>
      <c r="G70" s="62">
        <f>G60</f>
        <v>17.420000000000002</v>
      </c>
      <c r="H70" s="157">
        <f t="shared" si="11"/>
        <v>2.46</v>
      </c>
      <c r="J70" s="8" t="s">
        <v>975</v>
      </c>
    </row>
    <row r="71" spans="2:10" x14ac:dyDescent="0.2">
      <c r="B71" s="545"/>
      <c r="C71" s="545"/>
      <c r="D71" s="545"/>
      <c r="E71" s="156"/>
      <c r="F71" s="546" t="s">
        <v>395</v>
      </c>
      <c r="G71" s="546"/>
      <c r="H71" s="222">
        <f>SUM(H65:H70)</f>
        <v>733.28</v>
      </c>
      <c r="J71" s="8" t="s">
        <v>975</v>
      </c>
    </row>
    <row r="72" spans="2:10" ht="25.5" customHeight="1" x14ac:dyDescent="0.2">
      <c r="B72" s="540" t="str">
        <f>C63</f>
        <v>PORTA DE CORRER EM ALUMINIO (310X210CM), COM QUATRO FOLHAS DE VIDRO, INCLUSO VIDRO LISO INCOLOR, FECHADURA E PUXADOR, COM ALIZAR.</v>
      </c>
      <c r="C72" s="540"/>
      <c r="D72" s="540"/>
      <c r="E72" s="540"/>
      <c r="F72" s="540"/>
      <c r="G72" s="540"/>
      <c r="H72" s="96" t="s">
        <v>309</v>
      </c>
      <c r="J72" s="8" t="s">
        <v>975</v>
      </c>
    </row>
    <row r="73" spans="2:10" ht="38.25" customHeight="1" x14ac:dyDescent="0.2">
      <c r="B73" s="59" t="s">
        <v>50</v>
      </c>
      <c r="C73" s="59" t="str">
        <f>B63</f>
        <v>PMA ESQ 007</v>
      </c>
      <c r="D73" s="158" t="s">
        <v>750</v>
      </c>
      <c r="E73" s="59" t="s">
        <v>251</v>
      </c>
      <c r="F73" s="59">
        <f>3.1*2.1</f>
        <v>6.51</v>
      </c>
      <c r="G73" s="62">
        <f>H71</f>
        <v>733.28</v>
      </c>
      <c r="H73" s="157">
        <f>G73*F73</f>
        <v>4773.6499999999996</v>
      </c>
      <c r="J73" s="8" t="s">
        <v>975</v>
      </c>
    </row>
    <row r="74" spans="2:10" ht="14.45" customHeight="1" x14ac:dyDescent="0.2">
      <c r="B74" s="547" t="s">
        <v>749</v>
      </c>
      <c r="C74" s="547"/>
      <c r="D74" s="547"/>
      <c r="E74" s="217"/>
      <c r="F74" s="543" t="s">
        <v>1077</v>
      </c>
      <c r="G74" s="543"/>
      <c r="H74" s="216">
        <f>SUM(H73)</f>
        <v>4773.6499999999996</v>
      </c>
      <c r="J74" s="8" t="s">
        <v>975</v>
      </c>
    </row>
    <row r="75" spans="2:10" x14ac:dyDescent="0.2">
      <c r="B75" s="544"/>
      <c r="C75" s="544"/>
      <c r="D75" s="544"/>
      <c r="E75" s="544"/>
      <c r="F75" s="544"/>
      <c r="G75" s="544"/>
      <c r="H75" s="544"/>
      <c r="J75" s="8" t="s">
        <v>975</v>
      </c>
    </row>
    <row r="76" spans="2:10" ht="25.5" customHeight="1" x14ac:dyDescent="0.2">
      <c r="B76" s="523" t="s">
        <v>751</v>
      </c>
      <c r="C76" s="540" t="s">
        <v>1095</v>
      </c>
      <c r="D76" s="523"/>
      <c r="E76" s="523"/>
      <c r="F76" s="523"/>
      <c r="G76" s="523"/>
      <c r="H76" s="96" t="s">
        <v>251</v>
      </c>
      <c r="J76" s="8" t="s">
        <v>975</v>
      </c>
    </row>
    <row r="77" spans="2:10" ht="15" customHeight="1" x14ac:dyDescent="0.2">
      <c r="B77" s="523"/>
      <c r="C77" s="56" t="s">
        <v>233</v>
      </c>
      <c r="D77" s="57" t="s">
        <v>234</v>
      </c>
      <c r="E77" s="57" t="s">
        <v>47</v>
      </c>
      <c r="F77" s="57" t="s">
        <v>37</v>
      </c>
      <c r="G77" s="58" t="s">
        <v>48</v>
      </c>
      <c r="H77" s="58" t="s">
        <v>235</v>
      </c>
      <c r="J77" s="8" t="s">
        <v>975</v>
      </c>
    </row>
    <row r="78" spans="2:10" ht="25.5" x14ac:dyDescent="0.2">
      <c r="B78" s="59" t="s">
        <v>49</v>
      </c>
      <c r="C78" s="65">
        <v>7164</v>
      </c>
      <c r="D78" s="66" t="s">
        <v>965</v>
      </c>
      <c r="E78" s="65" t="s">
        <v>251</v>
      </c>
      <c r="F78" s="72">
        <v>1</v>
      </c>
      <c r="G78" s="68">
        <v>64.319999999999993</v>
      </c>
      <c r="H78" s="157">
        <f>G78*F78</f>
        <v>64.319999999999993</v>
      </c>
      <c r="J78" s="8" t="s">
        <v>975</v>
      </c>
    </row>
    <row r="79" spans="2:10" ht="25.5" x14ac:dyDescent="0.2">
      <c r="B79" s="59" t="s">
        <v>49</v>
      </c>
      <c r="C79" s="70">
        <v>565</v>
      </c>
      <c r="D79" s="71" t="s">
        <v>1081</v>
      </c>
      <c r="E79" s="70" t="s">
        <v>248</v>
      </c>
      <c r="F79" s="70">
        <f>9.17/2</f>
        <v>4.585</v>
      </c>
      <c r="G79" s="68">
        <v>18.38</v>
      </c>
      <c r="H79" s="157">
        <f t="shared" ref="H79:H85" si="12">G79*F79</f>
        <v>84.27</v>
      </c>
      <c r="J79" s="8" t="s">
        <v>975</v>
      </c>
    </row>
    <row r="80" spans="2:10" ht="25.5" x14ac:dyDescent="0.2">
      <c r="B80" s="59" t="s">
        <v>49</v>
      </c>
      <c r="C80" s="65">
        <v>4777</v>
      </c>
      <c r="D80" s="66" t="s">
        <v>1082</v>
      </c>
      <c r="E80" s="65" t="s">
        <v>253</v>
      </c>
      <c r="F80" s="65">
        <v>7.5439999999999996</v>
      </c>
      <c r="G80" s="68">
        <v>10.69</v>
      </c>
      <c r="H80" s="157">
        <f t="shared" si="12"/>
        <v>80.650000000000006</v>
      </c>
      <c r="J80" s="8" t="s">
        <v>975</v>
      </c>
    </row>
    <row r="81" spans="2:10" x14ac:dyDescent="0.2">
      <c r="B81" s="65" t="s">
        <v>49</v>
      </c>
      <c r="C81" s="65">
        <v>11002</v>
      </c>
      <c r="D81" s="66" t="s">
        <v>1083</v>
      </c>
      <c r="E81" s="65" t="s">
        <v>253</v>
      </c>
      <c r="F81" s="65">
        <v>0.115</v>
      </c>
      <c r="G81" s="68">
        <v>27.64</v>
      </c>
      <c r="H81" s="157">
        <f t="shared" si="12"/>
        <v>3.18</v>
      </c>
      <c r="J81" s="8" t="s">
        <v>975</v>
      </c>
    </row>
    <row r="82" spans="2:10" x14ac:dyDescent="0.2">
      <c r="B82" s="65" t="s">
        <v>296</v>
      </c>
      <c r="C82" s="65">
        <v>88251</v>
      </c>
      <c r="D82" s="66" t="s">
        <v>1084</v>
      </c>
      <c r="E82" s="65" t="s">
        <v>54</v>
      </c>
      <c r="F82" s="65">
        <v>6.9649999999999999</v>
      </c>
      <c r="G82" s="68">
        <v>18.440000000000001</v>
      </c>
      <c r="H82" s="157">
        <f t="shared" si="12"/>
        <v>128.43</v>
      </c>
      <c r="J82" s="8" t="s">
        <v>975</v>
      </c>
    </row>
    <row r="83" spans="2:10" x14ac:dyDescent="0.2">
      <c r="B83" s="65" t="s">
        <v>296</v>
      </c>
      <c r="C83" s="65">
        <v>88315</v>
      </c>
      <c r="D83" s="66" t="s">
        <v>825</v>
      </c>
      <c r="E83" s="65" t="s">
        <v>54</v>
      </c>
      <c r="F83" s="65">
        <v>8.4789999999999992</v>
      </c>
      <c r="G83" s="68">
        <v>21.66</v>
      </c>
      <c r="H83" s="157">
        <f t="shared" si="12"/>
        <v>183.66</v>
      </c>
      <c r="J83" s="8" t="s">
        <v>975</v>
      </c>
    </row>
    <row r="84" spans="2:10" ht="25.5" x14ac:dyDescent="0.2">
      <c r="B84" s="59" t="s">
        <v>296</v>
      </c>
      <c r="C84" s="65">
        <v>88629</v>
      </c>
      <c r="D84" s="66" t="s">
        <v>1085</v>
      </c>
      <c r="E84" s="65" t="s">
        <v>257</v>
      </c>
      <c r="F84" s="65">
        <v>8.0000000000000002E-3</v>
      </c>
      <c r="G84" s="68">
        <v>740.16</v>
      </c>
      <c r="H84" s="157">
        <f t="shared" si="12"/>
        <v>5.92</v>
      </c>
      <c r="J84" s="8" t="s">
        <v>975</v>
      </c>
    </row>
    <row r="85" spans="2:10" ht="51" x14ac:dyDescent="0.2">
      <c r="B85" s="59" t="s">
        <v>296</v>
      </c>
      <c r="C85" s="65">
        <v>100725</v>
      </c>
      <c r="D85" s="66" t="s">
        <v>1087</v>
      </c>
      <c r="E85" s="65" t="s">
        <v>251</v>
      </c>
      <c r="F85" s="72">
        <v>1</v>
      </c>
      <c r="G85" s="68">
        <v>22.19</v>
      </c>
      <c r="H85" s="157">
        <f t="shared" si="12"/>
        <v>22.19</v>
      </c>
      <c r="J85" s="8" t="s">
        <v>975</v>
      </c>
    </row>
    <row r="86" spans="2:10" s="149" customFormat="1" x14ac:dyDescent="0.2">
      <c r="B86" s="545"/>
      <c r="C86" s="545"/>
      <c r="D86" s="545"/>
      <c r="E86" s="156"/>
      <c r="F86" s="546" t="s">
        <v>395</v>
      </c>
      <c r="G86" s="546"/>
      <c r="H86" s="222">
        <f>SUM(H77:H85)</f>
        <v>572.62</v>
      </c>
      <c r="J86" s="8" t="s">
        <v>975</v>
      </c>
    </row>
    <row r="87" spans="2:10" ht="27" customHeight="1" x14ac:dyDescent="0.2">
      <c r="B87" s="540" t="str">
        <f>C76</f>
        <v>PORTA DE ABRIR/GIRO EM MALHA QUADRADA ONDULADA, DUAS FOLHAS(120X211CM)), PINTURA NA COR BRANCA - FORNECIMENTO E INSTALAÇÃO</v>
      </c>
      <c r="C87" s="540"/>
      <c r="D87" s="540"/>
      <c r="E87" s="540"/>
      <c r="F87" s="540"/>
      <c r="G87" s="540"/>
      <c r="H87" s="96" t="s">
        <v>309</v>
      </c>
      <c r="J87" s="8" t="s">
        <v>975</v>
      </c>
    </row>
    <row r="88" spans="2:10" ht="38.25" x14ac:dyDescent="0.2">
      <c r="B88" s="59" t="s">
        <v>50</v>
      </c>
      <c r="C88" s="59" t="str">
        <f>B76</f>
        <v>PMA ESQ 008</v>
      </c>
      <c r="D88" s="158" t="str">
        <f>C76</f>
        <v>PORTA DE ABRIR/GIRO EM MALHA QUADRADA ONDULADA, DUAS FOLHAS(120X211CM)), PINTURA NA COR BRANCA - FORNECIMENTO E INSTALAÇÃO</v>
      </c>
      <c r="E88" s="59" t="s">
        <v>251</v>
      </c>
      <c r="F88" s="59">
        <f>1.2*2.11</f>
        <v>2.532</v>
      </c>
      <c r="G88" s="62">
        <f>H86</f>
        <v>572.62</v>
      </c>
      <c r="H88" s="157">
        <f>G88*F88</f>
        <v>1449.87</v>
      </c>
      <c r="J88" s="8" t="s">
        <v>975</v>
      </c>
    </row>
    <row r="89" spans="2:10" ht="12.75" customHeight="1" x14ac:dyDescent="0.2">
      <c r="B89" s="547" t="s">
        <v>1086</v>
      </c>
      <c r="C89" s="547"/>
      <c r="D89" s="547"/>
      <c r="E89" s="217"/>
      <c r="F89" s="543" t="s">
        <v>1077</v>
      </c>
      <c r="G89" s="543"/>
      <c r="H89" s="216">
        <f>SUM(H88)</f>
        <v>1449.87</v>
      </c>
      <c r="J89" s="8" t="s">
        <v>975</v>
      </c>
    </row>
    <row r="90" spans="2:10" x14ac:dyDescent="0.2">
      <c r="B90" s="544"/>
      <c r="C90" s="544"/>
      <c r="D90" s="544"/>
      <c r="E90" s="544"/>
      <c r="F90" s="544"/>
      <c r="G90" s="544"/>
      <c r="H90" s="544"/>
      <c r="J90" s="8" t="s">
        <v>975</v>
      </c>
    </row>
    <row r="91" spans="2:10" ht="27" customHeight="1" x14ac:dyDescent="0.2">
      <c r="B91" s="523" t="s">
        <v>752</v>
      </c>
      <c r="C91" s="540" t="s">
        <v>1090</v>
      </c>
      <c r="D91" s="523"/>
      <c r="E91" s="523"/>
      <c r="F91" s="523"/>
      <c r="G91" s="523"/>
      <c r="H91" s="96" t="s">
        <v>251</v>
      </c>
      <c r="J91" s="8" t="s">
        <v>975</v>
      </c>
    </row>
    <row r="92" spans="2:10" ht="15" customHeight="1" x14ac:dyDescent="0.2">
      <c r="B92" s="523"/>
      <c r="C92" s="56" t="s">
        <v>233</v>
      </c>
      <c r="D92" s="57" t="s">
        <v>234</v>
      </c>
      <c r="E92" s="57" t="s">
        <v>47</v>
      </c>
      <c r="F92" s="57" t="s">
        <v>37</v>
      </c>
      <c r="G92" s="58" t="s">
        <v>48</v>
      </c>
      <c r="H92" s="58" t="s">
        <v>235</v>
      </c>
      <c r="J92" s="8" t="s">
        <v>975</v>
      </c>
    </row>
    <row r="93" spans="2:10" ht="25.5" x14ac:dyDescent="0.2">
      <c r="B93" s="59" t="s">
        <v>49</v>
      </c>
      <c r="C93" s="59">
        <v>142</v>
      </c>
      <c r="D93" s="60" t="s">
        <v>727</v>
      </c>
      <c r="E93" s="59" t="s">
        <v>728</v>
      </c>
      <c r="F93" s="59">
        <v>0.88290000000000002</v>
      </c>
      <c r="G93" s="62">
        <f>G65</f>
        <v>41.72</v>
      </c>
      <c r="H93" s="157">
        <f>G93*F93</f>
        <v>36.83</v>
      </c>
      <c r="J93" s="8" t="s">
        <v>975</v>
      </c>
    </row>
    <row r="94" spans="2:10" ht="38.25" x14ac:dyDescent="0.2">
      <c r="B94" s="70" t="s">
        <v>49</v>
      </c>
      <c r="C94" s="70">
        <v>7568</v>
      </c>
      <c r="D94" s="71" t="s">
        <v>729</v>
      </c>
      <c r="E94" s="70" t="s">
        <v>309</v>
      </c>
      <c r="F94" s="70">
        <v>4.8166000000000002</v>
      </c>
      <c r="G94" s="68">
        <f>G67</f>
        <v>0.67</v>
      </c>
      <c r="H94" s="157">
        <f t="shared" ref="H94:H98" si="13">G94*F94</f>
        <v>3.23</v>
      </c>
      <c r="J94" s="8" t="s">
        <v>975</v>
      </c>
    </row>
    <row r="95" spans="2:10" ht="38.25" x14ac:dyDescent="0.2">
      <c r="B95" s="70" t="s">
        <v>49</v>
      </c>
      <c r="C95" s="70">
        <v>36888</v>
      </c>
      <c r="D95" s="71" t="s">
        <v>964</v>
      </c>
      <c r="E95" s="70" t="s">
        <v>248</v>
      </c>
      <c r="F95" s="70">
        <v>6.8503999999999996</v>
      </c>
      <c r="G95" s="68">
        <f>G68</f>
        <v>30.59</v>
      </c>
      <c r="H95" s="157">
        <f t="shared" si="13"/>
        <v>209.55</v>
      </c>
      <c r="J95" s="8" t="s">
        <v>975</v>
      </c>
    </row>
    <row r="96" spans="2:10" ht="38.25" x14ac:dyDescent="0.2">
      <c r="B96" s="59" t="s">
        <v>49</v>
      </c>
      <c r="C96" s="59">
        <v>39025</v>
      </c>
      <c r="D96" s="60" t="s">
        <v>1088</v>
      </c>
      <c r="E96" s="59" t="s">
        <v>309</v>
      </c>
      <c r="F96" s="59">
        <v>0.54730000000000001</v>
      </c>
      <c r="G96" s="62">
        <v>779.97</v>
      </c>
      <c r="H96" s="157">
        <f t="shared" si="13"/>
        <v>426.88</v>
      </c>
      <c r="J96" s="8" t="s">
        <v>975</v>
      </c>
    </row>
    <row r="97" spans="2:10" x14ac:dyDescent="0.2">
      <c r="B97" s="65" t="s">
        <v>296</v>
      </c>
      <c r="C97" s="65">
        <v>88309</v>
      </c>
      <c r="D97" s="66" t="s">
        <v>281</v>
      </c>
      <c r="E97" s="65" t="s">
        <v>54</v>
      </c>
      <c r="F97" s="65">
        <v>0.3826</v>
      </c>
      <c r="G97" s="68">
        <f>G69</f>
        <v>21.83</v>
      </c>
      <c r="H97" s="157">
        <f t="shared" si="13"/>
        <v>8.35</v>
      </c>
      <c r="J97" s="8" t="s">
        <v>975</v>
      </c>
    </row>
    <row r="98" spans="2:10" x14ac:dyDescent="0.2">
      <c r="B98" s="59" t="s">
        <v>296</v>
      </c>
      <c r="C98" s="59">
        <v>88316</v>
      </c>
      <c r="D98" s="60" t="s">
        <v>255</v>
      </c>
      <c r="E98" s="59" t="s">
        <v>54</v>
      </c>
      <c r="F98" s="61">
        <v>0.191</v>
      </c>
      <c r="G98" s="62">
        <f>G70</f>
        <v>17.420000000000002</v>
      </c>
      <c r="H98" s="157">
        <f t="shared" si="13"/>
        <v>3.33</v>
      </c>
      <c r="J98" s="8" t="s">
        <v>975</v>
      </c>
    </row>
    <row r="99" spans="2:10" x14ac:dyDescent="0.2">
      <c r="B99" s="545"/>
      <c r="C99" s="545"/>
      <c r="D99" s="545"/>
      <c r="E99" s="156"/>
      <c r="F99" s="546" t="s">
        <v>395</v>
      </c>
      <c r="G99" s="546"/>
      <c r="H99" s="222">
        <f>SUM(H93:H98)</f>
        <v>688.17</v>
      </c>
      <c r="J99" s="8" t="s">
        <v>975</v>
      </c>
    </row>
    <row r="100" spans="2:10" ht="25.5" customHeight="1" x14ac:dyDescent="0.2">
      <c r="B100" s="540" t="str">
        <f>C91</f>
        <v>PORTA EM ALUMÍNIO DE ABRIR TIPO VENEZIANA, DUAS FOLHAS (120X210CM), COM GUARNIÇÃO, FIXAÇÃO COM PARAFUSOS - FORNECIMENTO E INSTALAÇÃO. AF_12/2019.</v>
      </c>
      <c r="C100" s="540"/>
      <c r="D100" s="540"/>
      <c r="E100" s="540"/>
      <c r="F100" s="540"/>
      <c r="G100" s="540"/>
      <c r="H100" s="96" t="s">
        <v>309</v>
      </c>
      <c r="J100" s="8" t="s">
        <v>975</v>
      </c>
    </row>
    <row r="101" spans="2:10" ht="38.25" x14ac:dyDescent="0.2">
      <c r="B101" s="59" t="s">
        <v>50</v>
      </c>
      <c r="C101" s="59" t="str">
        <f>B91</f>
        <v>PMA ESQ 009</v>
      </c>
      <c r="D101" s="158" t="str">
        <f>C91</f>
        <v>PORTA EM ALUMÍNIO DE ABRIR TIPO VENEZIANA, DUAS FOLHAS (120X210CM), COM GUARNIÇÃO, FIXAÇÃO COM PARAFUSOS - FORNECIMENTO E INSTALAÇÃO. AF_12/2019.</v>
      </c>
      <c r="E101" s="59" t="s">
        <v>251</v>
      </c>
      <c r="F101" s="59">
        <f>1.2*2.1</f>
        <v>2.52</v>
      </c>
      <c r="G101" s="62">
        <f>H99</f>
        <v>688.17</v>
      </c>
      <c r="H101" s="157">
        <f>G101*F101</f>
        <v>1734.19</v>
      </c>
      <c r="J101" s="8" t="s">
        <v>975</v>
      </c>
    </row>
    <row r="102" spans="2:10" ht="14.45" customHeight="1" x14ac:dyDescent="0.2">
      <c r="B102" s="547" t="s">
        <v>1079</v>
      </c>
      <c r="C102" s="547"/>
      <c r="D102" s="547"/>
      <c r="E102" s="217"/>
      <c r="F102" s="543" t="s">
        <v>1077</v>
      </c>
      <c r="G102" s="543"/>
      <c r="H102" s="216">
        <f>SUM(H101)</f>
        <v>1734.19</v>
      </c>
      <c r="J102" s="8" t="s">
        <v>975</v>
      </c>
    </row>
    <row r="103" spans="2:10" x14ac:dyDescent="0.2">
      <c r="B103" s="544"/>
      <c r="C103" s="544"/>
      <c r="D103" s="544"/>
      <c r="E103" s="544"/>
      <c r="F103" s="544"/>
      <c r="G103" s="544"/>
      <c r="H103" s="544"/>
      <c r="J103" s="8" t="s">
        <v>975</v>
      </c>
    </row>
    <row r="104" spans="2:10" ht="27" customHeight="1" x14ac:dyDescent="0.2">
      <c r="B104" s="523" t="s">
        <v>753</v>
      </c>
      <c r="C104" s="540" t="s">
        <v>1094</v>
      </c>
      <c r="D104" s="540"/>
      <c r="E104" s="540"/>
      <c r="F104" s="540"/>
      <c r="G104" s="540"/>
      <c r="H104" s="96" t="s">
        <v>251</v>
      </c>
      <c r="J104" s="8" t="s">
        <v>975</v>
      </c>
    </row>
    <row r="105" spans="2:10" ht="15" customHeight="1" x14ac:dyDescent="0.2">
      <c r="B105" s="523"/>
      <c r="C105" s="56" t="s">
        <v>233</v>
      </c>
      <c r="D105" s="57" t="s">
        <v>234</v>
      </c>
      <c r="E105" s="57" t="s">
        <v>47</v>
      </c>
      <c r="F105" s="57" t="s">
        <v>37</v>
      </c>
      <c r="G105" s="58" t="s">
        <v>48</v>
      </c>
      <c r="H105" s="58" t="s">
        <v>235</v>
      </c>
      <c r="J105" s="8" t="s">
        <v>975</v>
      </c>
    </row>
    <row r="106" spans="2:10" ht="25.5" x14ac:dyDescent="0.2">
      <c r="B106" s="59" t="s">
        <v>49</v>
      </c>
      <c r="C106" s="65">
        <v>7164</v>
      </c>
      <c r="D106" s="66" t="s">
        <v>965</v>
      </c>
      <c r="E106" s="65" t="s">
        <v>251</v>
      </c>
      <c r="F106" s="72">
        <v>1</v>
      </c>
      <c r="G106" s="68">
        <f t="shared" ref="G106:G113" si="14">G78</f>
        <v>64.319999999999993</v>
      </c>
      <c r="H106" s="157">
        <f>G106*F106</f>
        <v>64.319999999999993</v>
      </c>
      <c r="J106" s="8" t="s">
        <v>975</v>
      </c>
    </row>
    <row r="107" spans="2:10" ht="25.5" x14ac:dyDescent="0.2">
      <c r="B107" s="59" t="s">
        <v>49</v>
      </c>
      <c r="C107" s="70">
        <v>565</v>
      </c>
      <c r="D107" s="71" t="s">
        <v>1081</v>
      </c>
      <c r="E107" s="70" t="s">
        <v>248</v>
      </c>
      <c r="F107" s="70">
        <f>9.17/2</f>
        <v>4.585</v>
      </c>
      <c r="G107" s="68">
        <f t="shared" si="14"/>
        <v>18.38</v>
      </c>
      <c r="H107" s="157">
        <f t="shared" ref="H107:H113" si="15">G107*F107</f>
        <v>84.27</v>
      </c>
      <c r="J107" s="8" t="s">
        <v>975</v>
      </c>
    </row>
    <row r="108" spans="2:10" ht="25.5" x14ac:dyDescent="0.2">
      <c r="B108" s="59" t="s">
        <v>49</v>
      </c>
      <c r="C108" s="65">
        <v>4777</v>
      </c>
      <c r="D108" s="66" t="s">
        <v>1082</v>
      </c>
      <c r="E108" s="65" t="s">
        <v>253</v>
      </c>
      <c r="F108" s="65">
        <v>7.5439999999999996</v>
      </c>
      <c r="G108" s="68">
        <f t="shared" si="14"/>
        <v>10.69</v>
      </c>
      <c r="H108" s="157">
        <f t="shared" si="15"/>
        <v>80.650000000000006</v>
      </c>
      <c r="J108" s="8" t="s">
        <v>975</v>
      </c>
    </row>
    <row r="109" spans="2:10" x14ac:dyDescent="0.2">
      <c r="B109" s="65" t="s">
        <v>49</v>
      </c>
      <c r="C109" s="65">
        <v>11002</v>
      </c>
      <c r="D109" s="66" t="s">
        <v>1083</v>
      </c>
      <c r="E109" s="65" t="s">
        <v>253</v>
      </c>
      <c r="F109" s="65">
        <v>0.115</v>
      </c>
      <c r="G109" s="68">
        <f t="shared" si="14"/>
        <v>27.64</v>
      </c>
      <c r="H109" s="157">
        <f t="shared" si="15"/>
        <v>3.18</v>
      </c>
      <c r="J109" s="8" t="s">
        <v>975</v>
      </c>
    </row>
    <row r="110" spans="2:10" x14ac:dyDescent="0.2">
      <c r="B110" s="65" t="s">
        <v>296</v>
      </c>
      <c r="C110" s="65">
        <v>88251</v>
      </c>
      <c r="D110" s="66" t="s">
        <v>1084</v>
      </c>
      <c r="E110" s="65" t="s">
        <v>54</v>
      </c>
      <c r="F110" s="65">
        <v>6.9649999999999999</v>
      </c>
      <c r="G110" s="68">
        <f t="shared" si="14"/>
        <v>18.440000000000001</v>
      </c>
      <c r="H110" s="157">
        <f t="shared" si="15"/>
        <v>128.43</v>
      </c>
      <c r="J110" s="8" t="s">
        <v>975</v>
      </c>
    </row>
    <row r="111" spans="2:10" x14ac:dyDescent="0.2">
      <c r="B111" s="65" t="s">
        <v>296</v>
      </c>
      <c r="C111" s="65">
        <v>88315</v>
      </c>
      <c r="D111" s="66" t="s">
        <v>825</v>
      </c>
      <c r="E111" s="65" t="s">
        <v>54</v>
      </c>
      <c r="F111" s="65">
        <v>8.4789999999999992</v>
      </c>
      <c r="G111" s="68">
        <f t="shared" si="14"/>
        <v>21.66</v>
      </c>
      <c r="H111" s="157">
        <f t="shared" si="15"/>
        <v>183.66</v>
      </c>
      <c r="J111" s="8" t="s">
        <v>975</v>
      </c>
    </row>
    <row r="112" spans="2:10" ht="25.5" x14ac:dyDescent="0.2">
      <c r="B112" s="59" t="s">
        <v>296</v>
      </c>
      <c r="C112" s="65">
        <v>88629</v>
      </c>
      <c r="D112" s="66" t="s">
        <v>1085</v>
      </c>
      <c r="E112" s="65" t="s">
        <v>257</v>
      </c>
      <c r="F112" s="65">
        <v>8.0000000000000002E-3</v>
      </c>
      <c r="G112" s="68">
        <f t="shared" si="14"/>
        <v>740.16</v>
      </c>
      <c r="H112" s="157">
        <f t="shared" si="15"/>
        <v>5.92</v>
      </c>
      <c r="J112" s="8" t="s">
        <v>975</v>
      </c>
    </row>
    <row r="113" spans="2:10" ht="51" x14ac:dyDescent="0.2">
      <c r="B113" s="59" t="s">
        <v>296</v>
      </c>
      <c r="C113" s="65">
        <v>100725</v>
      </c>
      <c r="D113" s="66" t="s">
        <v>1087</v>
      </c>
      <c r="E113" s="65" t="s">
        <v>251</v>
      </c>
      <c r="F113" s="72">
        <v>1</v>
      </c>
      <c r="G113" s="68">
        <f t="shared" si="14"/>
        <v>22.19</v>
      </c>
      <c r="H113" s="157">
        <f t="shared" si="15"/>
        <v>22.19</v>
      </c>
      <c r="J113" s="8" t="s">
        <v>975</v>
      </c>
    </row>
    <row r="114" spans="2:10" x14ac:dyDescent="0.2">
      <c r="B114" s="545"/>
      <c r="C114" s="545"/>
      <c r="D114" s="545"/>
      <c r="E114" s="156"/>
      <c r="F114" s="546" t="s">
        <v>395</v>
      </c>
      <c r="G114" s="546"/>
      <c r="H114" s="222">
        <f>SUM(H105:H113)</f>
        <v>572.62</v>
      </c>
      <c r="J114" s="8" t="s">
        <v>975</v>
      </c>
    </row>
    <row r="115" spans="2:10" ht="27" customHeight="1" x14ac:dyDescent="0.2">
      <c r="B115" s="540" t="str">
        <f>C104</f>
        <v>PORTA DE ABRIR/GIRO EM MALHA QUADRADA ONDULADA, DUAS FOLHAS (100X110CM), PINTURA NA COR BRANCA - FORNECIMENTO E INSTALAÇÃO</v>
      </c>
      <c r="C115" s="540"/>
      <c r="D115" s="540"/>
      <c r="E115" s="540"/>
      <c r="F115" s="540"/>
      <c r="G115" s="540"/>
      <c r="H115" s="96" t="s">
        <v>309</v>
      </c>
      <c r="J115" s="8" t="s">
        <v>975</v>
      </c>
    </row>
    <row r="116" spans="2:10" ht="38.25" x14ac:dyDescent="0.2">
      <c r="B116" s="59" t="s">
        <v>50</v>
      </c>
      <c r="C116" s="59" t="str">
        <f>B104</f>
        <v>PMA ESQ 010</v>
      </c>
      <c r="D116" s="158" t="str">
        <f>C104</f>
        <v>PORTA DE ABRIR/GIRO EM MALHA QUADRADA ONDULADA, DUAS FOLHAS (100X110CM), PINTURA NA COR BRANCA - FORNECIMENTO E INSTALAÇÃO</v>
      </c>
      <c r="E116" s="59" t="s">
        <v>251</v>
      </c>
      <c r="F116" s="59">
        <f>1*1.1</f>
        <v>1.1000000000000001</v>
      </c>
      <c r="G116" s="62">
        <f>H114</f>
        <v>572.62</v>
      </c>
      <c r="H116" s="157">
        <f>G116*F116</f>
        <v>629.88</v>
      </c>
      <c r="J116" s="8" t="s">
        <v>975</v>
      </c>
    </row>
    <row r="117" spans="2:10" x14ac:dyDescent="0.2">
      <c r="B117" s="547" t="s">
        <v>1086</v>
      </c>
      <c r="C117" s="547"/>
      <c r="D117" s="547"/>
      <c r="E117" s="217"/>
      <c r="F117" s="543" t="s">
        <v>1077</v>
      </c>
      <c r="G117" s="543"/>
      <c r="H117" s="216">
        <f>SUM(H116)</f>
        <v>629.88</v>
      </c>
      <c r="J117" s="8" t="s">
        <v>975</v>
      </c>
    </row>
    <row r="118" spans="2:10" x14ac:dyDescent="0.2">
      <c r="B118" s="548"/>
      <c r="C118" s="548"/>
      <c r="D118" s="548"/>
      <c r="E118" s="548"/>
      <c r="F118" s="548"/>
      <c r="G118" s="548"/>
      <c r="H118" s="548"/>
      <c r="J118" s="8" t="s">
        <v>975</v>
      </c>
    </row>
    <row r="119" spans="2:10" ht="27" customHeight="1" x14ac:dyDescent="0.2">
      <c r="B119" s="523" t="s">
        <v>754</v>
      </c>
      <c r="C119" s="540" t="s">
        <v>1093</v>
      </c>
      <c r="D119" s="540"/>
      <c r="E119" s="540"/>
      <c r="F119" s="540"/>
      <c r="G119" s="540"/>
      <c r="H119" s="96" t="s">
        <v>251</v>
      </c>
      <c r="J119" s="8" t="s">
        <v>975</v>
      </c>
    </row>
    <row r="120" spans="2:10" ht="15" customHeight="1" x14ac:dyDescent="0.2">
      <c r="B120" s="523"/>
      <c r="C120" s="56" t="s">
        <v>233</v>
      </c>
      <c r="D120" s="57" t="s">
        <v>234</v>
      </c>
      <c r="E120" s="57" t="s">
        <v>47</v>
      </c>
      <c r="F120" s="57" t="s">
        <v>37</v>
      </c>
      <c r="G120" s="58" t="s">
        <v>48</v>
      </c>
      <c r="H120" s="58" t="s">
        <v>235</v>
      </c>
      <c r="J120" s="8" t="s">
        <v>975</v>
      </c>
    </row>
    <row r="121" spans="2:10" ht="25.5" x14ac:dyDescent="0.2">
      <c r="B121" s="59" t="s">
        <v>49</v>
      </c>
      <c r="C121" s="65">
        <v>7164</v>
      </c>
      <c r="D121" s="66" t="s">
        <v>965</v>
      </c>
      <c r="E121" s="65" t="s">
        <v>251</v>
      </c>
      <c r="F121" s="72">
        <v>1</v>
      </c>
      <c r="G121" s="68">
        <f t="shared" ref="G121:G128" si="16">G106</f>
        <v>64.319999999999993</v>
      </c>
      <c r="H121" s="157">
        <f>G121*F121</f>
        <v>64.319999999999993</v>
      </c>
      <c r="J121" s="8" t="s">
        <v>975</v>
      </c>
    </row>
    <row r="122" spans="2:10" ht="25.5" x14ac:dyDescent="0.2">
      <c r="B122" s="59" t="s">
        <v>49</v>
      </c>
      <c r="C122" s="70">
        <v>565</v>
      </c>
      <c r="D122" s="71" t="s">
        <v>1081</v>
      </c>
      <c r="E122" s="70" t="s">
        <v>248</v>
      </c>
      <c r="F122" s="70">
        <f>9.17/2</f>
        <v>4.585</v>
      </c>
      <c r="G122" s="68">
        <f t="shared" si="16"/>
        <v>18.38</v>
      </c>
      <c r="H122" s="157">
        <f t="shared" ref="H122:H128" si="17">G122*F122</f>
        <v>84.27</v>
      </c>
      <c r="J122" s="8" t="s">
        <v>975</v>
      </c>
    </row>
    <row r="123" spans="2:10" ht="25.5" x14ac:dyDescent="0.2">
      <c r="B123" s="59" t="s">
        <v>49</v>
      </c>
      <c r="C123" s="65">
        <v>4777</v>
      </c>
      <c r="D123" s="66" t="s">
        <v>1082</v>
      </c>
      <c r="E123" s="65" t="s">
        <v>253</v>
      </c>
      <c r="F123" s="65">
        <v>7.5439999999999996</v>
      </c>
      <c r="G123" s="68">
        <f t="shared" si="16"/>
        <v>10.69</v>
      </c>
      <c r="H123" s="157">
        <f t="shared" si="17"/>
        <v>80.650000000000006</v>
      </c>
      <c r="J123" s="8" t="s">
        <v>975</v>
      </c>
    </row>
    <row r="124" spans="2:10" x14ac:dyDescent="0.2">
      <c r="B124" s="65" t="s">
        <v>49</v>
      </c>
      <c r="C124" s="65">
        <v>11002</v>
      </c>
      <c r="D124" s="66" t="s">
        <v>1083</v>
      </c>
      <c r="E124" s="65" t="s">
        <v>253</v>
      </c>
      <c r="F124" s="65">
        <v>0.115</v>
      </c>
      <c r="G124" s="68">
        <f t="shared" si="16"/>
        <v>27.64</v>
      </c>
      <c r="H124" s="157">
        <f t="shared" si="17"/>
        <v>3.18</v>
      </c>
      <c r="J124" s="8" t="s">
        <v>975</v>
      </c>
    </row>
    <row r="125" spans="2:10" x14ac:dyDescent="0.2">
      <c r="B125" s="65" t="s">
        <v>296</v>
      </c>
      <c r="C125" s="65">
        <v>88251</v>
      </c>
      <c r="D125" s="66" t="s">
        <v>1084</v>
      </c>
      <c r="E125" s="65" t="s">
        <v>54</v>
      </c>
      <c r="F125" s="65">
        <v>6.9649999999999999</v>
      </c>
      <c r="G125" s="68">
        <f t="shared" si="16"/>
        <v>18.440000000000001</v>
      </c>
      <c r="H125" s="157">
        <f t="shared" si="17"/>
        <v>128.43</v>
      </c>
      <c r="J125" s="8" t="s">
        <v>975</v>
      </c>
    </row>
    <row r="126" spans="2:10" x14ac:dyDescent="0.2">
      <c r="B126" s="65" t="s">
        <v>296</v>
      </c>
      <c r="C126" s="65">
        <v>88315</v>
      </c>
      <c r="D126" s="66" t="s">
        <v>825</v>
      </c>
      <c r="E126" s="65" t="s">
        <v>54</v>
      </c>
      <c r="F126" s="65">
        <v>8.4789999999999992</v>
      </c>
      <c r="G126" s="68">
        <f t="shared" si="16"/>
        <v>21.66</v>
      </c>
      <c r="H126" s="157">
        <f t="shared" si="17"/>
        <v>183.66</v>
      </c>
      <c r="J126" s="8" t="s">
        <v>975</v>
      </c>
    </row>
    <row r="127" spans="2:10" ht="25.5" x14ac:dyDescent="0.2">
      <c r="B127" s="59" t="s">
        <v>296</v>
      </c>
      <c r="C127" s="65">
        <v>88629</v>
      </c>
      <c r="D127" s="66" t="s">
        <v>1085</v>
      </c>
      <c r="E127" s="65" t="s">
        <v>257</v>
      </c>
      <c r="F127" s="65">
        <v>8.0000000000000002E-3</v>
      </c>
      <c r="G127" s="68">
        <f t="shared" si="16"/>
        <v>740.16</v>
      </c>
      <c r="H127" s="157">
        <f t="shared" si="17"/>
        <v>5.92</v>
      </c>
      <c r="J127" s="8" t="s">
        <v>975</v>
      </c>
    </row>
    <row r="128" spans="2:10" ht="51" x14ac:dyDescent="0.2">
      <c r="B128" s="59" t="s">
        <v>296</v>
      </c>
      <c r="C128" s="65">
        <v>100725</v>
      </c>
      <c r="D128" s="66" t="s">
        <v>1087</v>
      </c>
      <c r="E128" s="65" t="s">
        <v>251</v>
      </c>
      <c r="F128" s="72">
        <v>1</v>
      </c>
      <c r="G128" s="68">
        <f t="shared" si="16"/>
        <v>22.19</v>
      </c>
      <c r="H128" s="157">
        <f t="shared" si="17"/>
        <v>22.19</v>
      </c>
      <c r="J128" s="8" t="s">
        <v>975</v>
      </c>
    </row>
    <row r="129" spans="2:14" x14ac:dyDescent="0.2">
      <c r="B129" s="545"/>
      <c r="C129" s="545"/>
      <c r="D129" s="545"/>
      <c r="E129" s="156"/>
      <c r="F129" s="546" t="s">
        <v>395</v>
      </c>
      <c r="G129" s="546"/>
      <c r="H129" s="222">
        <f>SUM(H120:H128)</f>
        <v>572.62</v>
      </c>
      <c r="J129" s="8" t="s">
        <v>975</v>
      </c>
    </row>
    <row r="130" spans="2:14" ht="27" customHeight="1" x14ac:dyDescent="0.2">
      <c r="B130" s="540" t="str">
        <f>C119</f>
        <v>PORTA DE ABRIR/GIRO EM MALHA QUADRADA ONDULADA, DUAS FOLHAS (120X110CM), PINTURA NA COR BRANCA - FORNECIMENTO E INSTALAÇÃO</v>
      </c>
      <c r="C130" s="540"/>
      <c r="D130" s="540"/>
      <c r="E130" s="540"/>
      <c r="F130" s="540"/>
      <c r="G130" s="540"/>
      <c r="H130" s="96" t="s">
        <v>309</v>
      </c>
      <c r="J130" s="8" t="s">
        <v>975</v>
      </c>
    </row>
    <row r="131" spans="2:14" ht="38.25" x14ac:dyDescent="0.2">
      <c r="B131" s="59" t="s">
        <v>50</v>
      </c>
      <c r="C131" s="59" t="str">
        <f>B119</f>
        <v>PMA ESQ 011</v>
      </c>
      <c r="D131" s="158" t="str">
        <f>C119</f>
        <v>PORTA DE ABRIR/GIRO EM MALHA QUADRADA ONDULADA, DUAS FOLHAS (120X110CM), PINTURA NA COR BRANCA - FORNECIMENTO E INSTALAÇÃO</v>
      </c>
      <c r="E131" s="59" t="s">
        <v>251</v>
      </c>
      <c r="F131" s="59">
        <f>1.2*1.1</f>
        <v>1.32</v>
      </c>
      <c r="G131" s="62">
        <f>H129</f>
        <v>572.62</v>
      </c>
      <c r="H131" s="157">
        <f>G131*F131</f>
        <v>755.86</v>
      </c>
      <c r="J131" s="8" t="s">
        <v>975</v>
      </c>
      <c r="M131" s="8">
        <v>1.05</v>
      </c>
      <c r="N131" s="8">
        <v>129.03</v>
      </c>
    </row>
    <row r="132" spans="2:14" ht="13.9" customHeight="1" x14ac:dyDescent="0.2">
      <c r="B132" s="547" t="s">
        <v>1086</v>
      </c>
      <c r="C132" s="547"/>
      <c r="D132" s="547"/>
      <c r="E132" s="217"/>
      <c r="F132" s="543" t="s">
        <v>1077</v>
      </c>
      <c r="G132" s="543"/>
      <c r="H132" s="216">
        <f>SUM(H131)</f>
        <v>755.86</v>
      </c>
      <c r="J132" s="8" t="s">
        <v>975</v>
      </c>
      <c r="M132" s="8">
        <v>1.9475</v>
      </c>
      <c r="N132" s="8">
        <v>12.05</v>
      </c>
    </row>
    <row r="133" spans="2:14" ht="13.9" customHeight="1" x14ac:dyDescent="0.2">
      <c r="B133" s="548"/>
      <c r="C133" s="548"/>
      <c r="D133" s="548"/>
      <c r="E133" s="548"/>
      <c r="F133" s="548"/>
      <c r="G133" s="548"/>
      <c r="H133" s="548"/>
      <c r="J133" s="8" t="s">
        <v>975</v>
      </c>
    </row>
    <row r="134" spans="2:14" ht="27" customHeight="1" x14ac:dyDescent="0.2">
      <c r="B134" s="523" t="s">
        <v>755</v>
      </c>
      <c r="C134" s="540" t="s">
        <v>1091</v>
      </c>
      <c r="D134" s="540"/>
      <c r="E134" s="540"/>
      <c r="F134" s="540"/>
      <c r="G134" s="540"/>
      <c r="H134" s="96" t="s">
        <v>251</v>
      </c>
      <c r="J134" s="8" t="s">
        <v>975</v>
      </c>
      <c r="M134" s="8">
        <v>0.34200000000000003</v>
      </c>
      <c r="N134" s="8">
        <v>23</v>
      </c>
    </row>
    <row r="135" spans="2:14" ht="15" customHeight="1" x14ac:dyDescent="0.2">
      <c r="B135" s="523"/>
      <c r="C135" s="56" t="s">
        <v>233</v>
      </c>
      <c r="D135" s="57" t="s">
        <v>234</v>
      </c>
      <c r="E135" s="57" t="s">
        <v>47</v>
      </c>
      <c r="F135" s="57" t="s">
        <v>37</v>
      </c>
      <c r="G135" s="58" t="s">
        <v>48</v>
      </c>
      <c r="H135" s="58" t="s">
        <v>235</v>
      </c>
      <c r="J135" s="8" t="s">
        <v>975</v>
      </c>
    </row>
    <row r="136" spans="2:14" ht="25.5" x14ac:dyDescent="0.2">
      <c r="B136" s="59" t="s">
        <v>49</v>
      </c>
      <c r="C136" s="65">
        <v>7164</v>
      </c>
      <c r="D136" s="66" t="s">
        <v>965</v>
      </c>
      <c r="E136" s="65" t="s">
        <v>251</v>
      </c>
      <c r="F136" s="72">
        <v>1</v>
      </c>
      <c r="G136" s="68">
        <f t="shared" ref="G136:G143" si="18">G121</f>
        <v>64.319999999999993</v>
      </c>
      <c r="H136" s="157">
        <f>G136*F136</f>
        <v>64.319999999999993</v>
      </c>
      <c r="J136" s="8" t="s">
        <v>975</v>
      </c>
      <c r="M136" s="8">
        <v>0.3</v>
      </c>
      <c r="N136" s="8">
        <v>6.93</v>
      </c>
    </row>
    <row r="137" spans="2:14" ht="25.5" x14ac:dyDescent="0.2">
      <c r="B137" s="59" t="s">
        <v>49</v>
      </c>
      <c r="C137" s="70">
        <v>565</v>
      </c>
      <c r="D137" s="71" t="s">
        <v>1081</v>
      </c>
      <c r="E137" s="70" t="s">
        <v>248</v>
      </c>
      <c r="F137" s="70">
        <f>9.17*0.3</f>
        <v>2.7509999999999999</v>
      </c>
      <c r="G137" s="68">
        <f t="shared" si="18"/>
        <v>18.38</v>
      </c>
      <c r="H137" s="157">
        <f t="shared" ref="H137:H143" si="19">G137*F137</f>
        <v>50.56</v>
      </c>
      <c r="J137" s="8" t="s">
        <v>975</v>
      </c>
    </row>
    <row r="138" spans="2:14" ht="25.5" x14ac:dyDescent="0.2">
      <c r="B138" s="59" t="s">
        <v>49</v>
      </c>
      <c r="C138" s="65">
        <v>4777</v>
      </c>
      <c r="D138" s="66" t="s">
        <v>1082</v>
      </c>
      <c r="E138" s="65" t="s">
        <v>253</v>
      </c>
      <c r="F138" s="65">
        <v>7.5439999999999996</v>
      </c>
      <c r="G138" s="68">
        <f t="shared" si="18"/>
        <v>10.69</v>
      </c>
      <c r="H138" s="157">
        <f t="shared" si="19"/>
        <v>80.650000000000006</v>
      </c>
      <c r="J138" s="8" t="s">
        <v>975</v>
      </c>
      <c r="M138" s="8">
        <v>7.0000000000000007E-2</v>
      </c>
      <c r="N138" s="8">
        <v>39.85</v>
      </c>
    </row>
    <row r="139" spans="2:14" x14ac:dyDescent="0.2">
      <c r="B139" s="65" t="s">
        <v>49</v>
      </c>
      <c r="C139" s="65">
        <v>11002</v>
      </c>
      <c r="D139" s="66" t="s">
        <v>1083</v>
      </c>
      <c r="E139" s="65" t="s">
        <v>253</v>
      </c>
      <c r="F139" s="65">
        <v>0.115</v>
      </c>
      <c r="G139" s="68">
        <f t="shared" si="18"/>
        <v>27.64</v>
      </c>
      <c r="H139" s="157">
        <f t="shared" si="19"/>
        <v>3.18</v>
      </c>
      <c r="J139" s="8" t="s">
        <v>975</v>
      </c>
    </row>
    <row r="140" spans="2:14" x14ac:dyDescent="0.2">
      <c r="B140" s="65" t="s">
        <v>296</v>
      </c>
      <c r="C140" s="65">
        <v>88251</v>
      </c>
      <c r="D140" s="66" t="s">
        <v>1084</v>
      </c>
      <c r="E140" s="65" t="s">
        <v>54</v>
      </c>
      <c r="F140" s="65">
        <v>6.9649999999999999</v>
      </c>
      <c r="G140" s="68">
        <f t="shared" si="18"/>
        <v>18.440000000000001</v>
      </c>
      <c r="H140" s="157">
        <f t="shared" si="19"/>
        <v>128.43</v>
      </c>
      <c r="J140" s="8" t="s">
        <v>975</v>
      </c>
    </row>
    <row r="141" spans="2:14" x14ac:dyDescent="0.2">
      <c r="B141" s="65" t="s">
        <v>296</v>
      </c>
      <c r="C141" s="65">
        <v>88315</v>
      </c>
      <c r="D141" s="66" t="s">
        <v>825</v>
      </c>
      <c r="E141" s="65" t="s">
        <v>54</v>
      </c>
      <c r="F141" s="65">
        <v>8.4789999999999992</v>
      </c>
      <c r="G141" s="68">
        <f t="shared" si="18"/>
        <v>21.66</v>
      </c>
      <c r="H141" s="157">
        <f t="shared" si="19"/>
        <v>183.66</v>
      </c>
      <c r="J141" s="8" t="s">
        <v>975</v>
      </c>
    </row>
    <row r="142" spans="2:14" ht="25.5" x14ac:dyDescent="0.2">
      <c r="B142" s="59" t="s">
        <v>296</v>
      </c>
      <c r="C142" s="65">
        <v>88629</v>
      </c>
      <c r="D142" s="66" t="s">
        <v>1085</v>
      </c>
      <c r="E142" s="65" t="s">
        <v>257</v>
      </c>
      <c r="F142" s="65">
        <v>8.0000000000000002E-3</v>
      </c>
      <c r="G142" s="68">
        <f t="shared" si="18"/>
        <v>740.16</v>
      </c>
      <c r="H142" s="157">
        <f t="shared" si="19"/>
        <v>5.92</v>
      </c>
      <c r="J142" s="8" t="s">
        <v>975</v>
      </c>
    </row>
    <row r="143" spans="2:14" ht="51" x14ac:dyDescent="0.2">
      <c r="B143" s="59" t="s">
        <v>296</v>
      </c>
      <c r="C143" s="65">
        <v>100725</v>
      </c>
      <c r="D143" s="66" t="s">
        <v>1087</v>
      </c>
      <c r="E143" s="65" t="s">
        <v>251</v>
      </c>
      <c r="F143" s="72">
        <v>1</v>
      </c>
      <c r="G143" s="68">
        <f t="shared" si="18"/>
        <v>22.19</v>
      </c>
      <c r="H143" s="157">
        <f t="shared" si="19"/>
        <v>22.19</v>
      </c>
      <c r="J143" s="8" t="s">
        <v>975</v>
      </c>
    </row>
    <row r="144" spans="2:14" ht="12.75" customHeight="1" x14ac:dyDescent="0.2">
      <c r="B144" s="545"/>
      <c r="C144" s="545"/>
      <c r="D144" s="545"/>
      <c r="E144" s="156"/>
      <c r="F144" s="546" t="s">
        <v>395</v>
      </c>
      <c r="G144" s="546"/>
      <c r="H144" s="222">
        <f>SUM(H135:H143)</f>
        <v>538.91</v>
      </c>
      <c r="J144" s="8" t="s">
        <v>975</v>
      </c>
    </row>
    <row r="145" spans="2:10" ht="13.9" customHeight="1" x14ac:dyDescent="0.2">
      <c r="B145" s="540" t="str">
        <f>C134</f>
        <v>CAIXILHO EM MALHA QUADRADA ONDULADA, DUAS FOLHAS (300X165CM), PINTURA NA COR BRANCA - FORNECIMENTO E INSTALAÇÃO</v>
      </c>
      <c r="C145" s="540"/>
      <c r="D145" s="540"/>
      <c r="E145" s="540"/>
      <c r="F145" s="540"/>
      <c r="G145" s="540"/>
      <c r="H145" s="96" t="s">
        <v>309</v>
      </c>
      <c r="J145" s="8" t="s">
        <v>975</v>
      </c>
    </row>
    <row r="146" spans="2:10" ht="38.25" x14ac:dyDescent="0.2">
      <c r="B146" s="59" t="s">
        <v>50</v>
      </c>
      <c r="C146" s="59" t="str">
        <f>B134</f>
        <v>PMA ESQ 012</v>
      </c>
      <c r="D146" s="158" t="str">
        <f>C134</f>
        <v>CAIXILHO EM MALHA QUADRADA ONDULADA, DUAS FOLHAS (300X165CM), PINTURA NA COR BRANCA - FORNECIMENTO E INSTALAÇÃO</v>
      </c>
      <c r="E146" s="59" t="s">
        <v>251</v>
      </c>
      <c r="F146" s="59">
        <f>3*1.65</f>
        <v>4.95</v>
      </c>
      <c r="G146" s="62">
        <f>H144</f>
        <v>538.91</v>
      </c>
      <c r="H146" s="157">
        <f>G146*F146</f>
        <v>2667.6</v>
      </c>
      <c r="J146" s="8" t="s">
        <v>975</v>
      </c>
    </row>
    <row r="147" spans="2:10" ht="13.15" customHeight="1" x14ac:dyDescent="0.2">
      <c r="B147" s="547" t="s">
        <v>1086</v>
      </c>
      <c r="C147" s="547"/>
      <c r="D147" s="547"/>
      <c r="E147" s="217"/>
      <c r="F147" s="543" t="s">
        <v>1077</v>
      </c>
      <c r="G147" s="543"/>
      <c r="H147" s="216">
        <f>SUM(H146)</f>
        <v>2667.6</v>
      </c>
      <c r="J147" s="8" t="s">
        <v>975</v>
      </c>
    </row>
    <row r="148" spans="2:10" x14ac:dyDescent="0.2">
      <c r="B148" s="548"/>
      <c r="C148" s="548"/>
      <c r="D148" s="548"/>
      <c r="E148" s="548"/>
      <c r="F148" s="548"/>
      <c r="G148" s="548"/>
      <c r="H148" s="548"/>
      <c r="J148" s="8" t="s">
        <v>975</v>
      </c>
    </row>
    <row r="149" spans="2:10" ht="27" customHeight="1" x14ac:dyDescent="0.2">
      <c r="B149" s="523" t="s">
        <v>756</v>
      </c>
      <c r="C149" s="540" t="s">
        <v>1092</v>
      </c>
      <c r="D149" s="540"/>
      <c r="E149" s="540"/>
      <c r="F149" s="540"/>
      <c r="G149" s="540"/>
      <c r="H149" s="96" t="s">
        <v>251</v>
      </c>
      <c r="J149" s="8" t="s">
        <v>975</v>
      </c>
    </row>
    <row r="150" spans="2:10" ht="15" customHeight="1" x14ac:dyDescent="0.2">
      <c r="B150" s="523"/>
      <c r="C150" s="56" t="s">
        <v>233</v>
      </c>
      <c r="D150" s="57" t="s">
        <v>234</v>
      </c>
      <c r="E150" s="57" t="s">
        <v>47</v>
      </c>
      <c r="F150" s="57" t="s">
        <v>37</v>
      </c>
      <c r="G150" s="58" t="s">
        <v>48</v>
      </c>
      <c r="H150" s="58" t="s">
        <v>235</v>
      </c>
      <c r="J150" s="8" t="s">
        <v>975</v>
      </c>
    </row>
    <row r="151" spans="2:10" ht="25.5" x14ac:dyDescent="0.2">
      <c r="B151" s="59" t="s">
        <v>49</v>
      </c>
      <c r="C151" s="65">
        <v>7164</v>
      </c>
      <c r="D151" s="66" t="s">
        <v>965</v>
      </c>
      <c r="E151" s="65" t="s">
        <v>251</v>
      </c>
      <c r="F151" s="72">
        <v>1</v>
      </c>
      <c r="G151" s="68">
        <f>G136</f>
        <v>64.319999999999993</v>
      </c>
      <c r="H151" s="157">
        <f>G151*F151</f>
        <v>64.319999999999993</v>
      </c>
      <c r="J151" s="8" t="s">
        <v>975</v>
      </c>
    </row>
    <row r="152" spans="2:10" ht="25.5" x14ac:dyDescent="0.2">
      <c r="B152" s="59" t="s">
        <v>49</v>
      </c>
      <c r="C152" s="70">
        <v>565</v>
      </c>
      <c r="D152" s="71" t="s">
        <v>1081</v>
      </c>
      <c r="E152" s="70" t="s">
        <v>248</v>
      </c>
      <c r="F152" s="70">
        <f>9.17*0.3</f>
        <v>2.7509999999999999</v>
      </c>
      <c r="G152" s="68">
        <f t="shared" ref="G152:G158" si="20">G137</f>
        <v>18.38</v>
      </c>
      <c r="H152" s="157">
        <f t="shared" ref="H152:H158" si="21">G152*F152</f>
        <v>50.56</v>
      </c>
      <c r="J152" s="8" t="s">
        <v>975</v>
      </c>
    </row>
    <row r="153" spans="2:10" ht="25.5" x14ac:dyDescent="0.2">
      <c r="B153" s="59" t="s">
        <v>49</v>
      </c>
      <c r="C153" s="65">
        <v>4777</v>
      </c>
      <c r="D153" s="66" t="s">
        <v>1082</v>
      </c>
      <c r="E153" s="65" t="s">
        <v>253</v>
      </c>
      <c r="F153" s="65">
        <v>7.5439999999999996</v>
      </c>
      <c r="G153" s="68">
        <f t="shared" si="20"/>
        <v>10.69</v>
      </c>
      <c r="H153" s="157">
        <f t="shared" si="21"/>
        <v>80.650000000000006</v>
      </c>
      <c r="J153" s="8" t="s">
        <v>975</v>
      </c>
    </row>
    <row r="154" spans="2:10" x14ac:dyDescent="0.2">
      <c r="B154" s="65" t="s">
        <v>49</v>
      </c>
      <c r="C154" s="65">
        <v>11002</v>
      </c>
      <c r="D154" s="66" t="s">
        <v>1083</v>
      </c>
      <c r="E154" s="65" t="s">
        <v>253</v>
      </c>
      <c r="F154" s="65">
        <v>0.115</v>
      </c>
      <c r="G154" s="68">
        <f t="shared" si="20"/>
        <v>27.64</v>
      </c>
      <c r="H154" s="157">
        <f t="shared" si="21"/>
        <v>3.18</v>
      </c>
      <c r="J154" s="8" t="s">
        <v>975</v>
      </c>
    </row>
    <row r="155" spans="2:10" x14ac:dyDescent="0.2">
      <c r="B155" s="65" t="s">
        <v>296</v>
      </c>
      <c r="C155" s="65">
        <v>88251</v>
      </c>
      <c r="D155" s="66" t="s">
        <v>1084</v>
      </c>
      <c r="E155" s="65" t="s">
        <v>54</v>
      </c>
      <c r="F155" s="65">
        <v>6.9649999999999999</v>
      </c>
      <c r="G155" s="68">
        <f t="shared" si="20"/>
        <v>18.440000000000001</v>
      </c>
      <c r="H155" s="157">
        <f t="shared" si="21"/>
        <v>128.43</v>
      </c>
      <c r="J155" s="8" t="s">
        <v>975</v>
      </c>
    </row>
    <row r="156" spans="2:10" x14ac:dyDescent="0.2">
      <c r="B156" s="65" t="s">
        <v>296</v>
      </c>
      <c r="C156" s="65">
        <v>88315</v>
      </c>
      <c r="D156" s="66" t="s">
        <v>825</v>
      </c>
      <c r="E156" s="65" t="s">
        <v>54</v>
      </c>
      <c r="F156" s="65">
        <v>8.4789999999999992</v>
      </c>
      <c r="G156" s="68">
        <f t="shared" si="20"/>
        <v>21.66</v>
      </c>
      <c r="H156" s="157">
        <f t="shared" si="21"/>
        <v>183.66</v>
      </c>
      <c r="I156" s="63"/>
      <c r="J156" s="8" t="s">
        <v>975</v>
      </c>
    </row>
    <row r="157" spans="2:10" ht="25.5" x14ac:dyDescent="0.2">
      <c r="B157" s="59" t="s">
        <v>296</v>
      </c>
      <c r="C157" s="65">
        <v>88629</v>
      </c>
      <c r="D157" s="66" t="s">
        <v>1085</v>
      </c>
      <c r="E157" s="65" t="s">
        <v>257</v>
      </c>
      <c r="F157" s="65">
        <v>8.0000000000000002E-3</v>
      </c>
      <c r="G157" s="68">
        <f t="shared" si="20"/>
        <v>740.16</v>
      </c>
      <c r="H157" s="157">
        <f t="shared" si="21"/>
        <v>5.92</v>
      </c>
      <c r="J157" s="8" t="s">
        <v>975</v>
      </c>
    </row>
    <row r="158" spans="2:10" ht="51" x14ac:dyDescent="0.2">
      <c r="B158" s="59" t="s">
        <v>296</v>
      </c>
      <c r="C158" s="65">
        <v>100725</v>
      </c>
      <c r="D158" s="66" t="s">
        <v>1087</v>
      </c>
      <c r="E158" s="65" t="s">
        <v>251</v>
      </c>
      <c r="F158" s="72">
        <v>1</v>
      </c>
      <c r="G158" s="68">
        <f t="shared" si="20"/>
        <v>22.19</v>
      </c>
      <c r="H158" s="157">
        <f t="shared" si="21"/>
        <v>22.19</v>
      </c>
      <c r="J158" s="8" t="s">
        <v>975</v>
      </c>
    </row>
    <row r="159" spans="2:10" ht="13.15" customHeight="1" x14ac:dyDescent="0.2">
      <c r="B159" s="545"/>
      <c r="C159" s="545"/>
      <c r="D159" s="545"/>
      <c r="E159" s="156"/>
      <c r="F159" s="546" t="s">
        <v>395</v>
      </c>
      <c r="G159" s="546"/>
      <c r="H159" s="222">
        <f>SUM(H150:H158)</f>
        <v>538.91</v>
      </c>
      <c r="J159" s="8" t="s">
        <v>975</v>
      </c>
    </row>
    <row r="160" spans="2:10" ht="13.15" customHeight="1" x14ac:dyDescent="0.2">
      <c r="B160" s="540" t="str">
        <f>C149</f>
        <v>CAIXILHO EM MALHA QUADRADA ONDULADA, DUAS FOLHAS (120X165CM), PINTURA NA COR BRANCA - FORNECIMENTO E INSTALAÇÃO</v>
      </c>
      <c r="C160" s="540"/>
      <c r="D160" s="540"/>
      <c r="E160" s="540"/>
      <c r="F160" s="540"/>
      <c r="G160" s="540"/>
      <c r="H160" s="96" t="s">
        <v>309</v>
      </c>
      <c r="J160" s="8" t="s">
        <v>975</v>
      </c>
    </row>
    <row r="161" spans="2:10" ht="38.25" x14ac:dyDescent="0.2">
      <c r="B161" s="59" t="s">
        <v>50</v>
      </c>
      <c r="C161" s="59" t="str">
        <f>B149</f>
        <v>PMA ESQ 013</v>
      </c>
      <c r="D161" s="158" t="str">
        <f>C149</f>
        <v>CAIXILHO EM MALHA QUADRADA ONDULADA, DUAS FOLHAS (120X165CM), PINTURA NA COR BRANCA - FORNECIMENTO E INSTALAÇÃO</v>
      </c>
      <c r="E161" s="59" t="s">
        <v>251</v>
      </c>
      <c r="F161" s="59">
        <f>1.2*1.65</f>
        <v>1.98</v>
      </c>
      <c r="G161" s="62">
        <f>H159</f>
        <v>538.91</v>
      </c>
      <c r="H161" s="157">
        <f>G161*F161</f>
        <v>1067.04</v>
      </c>
      <c r="J161" s="8" t="s">
        <v>975</v>
      </c>
    </row>
    <row r="162" spans="2:10" ht="13.15" customHeight="1" x14ac:dyDescent="0.2">
      <c r="B162" s="547" t="s">
        <v>1086</v>
      </c>
      <c r="C162" s="547"/>
      <c r="D162" s="547"/>
      <c r="E162" s="217"/>
      <c r="F162" s="543" t="s">
        <v>1077</v>
      </c>
      <c r="G162" s="543"/>
      <c r="H162" s="216">
        <f>SUM(H161)</f>
        <v>1067.04</v>
      </c>
      <c r="J162" s="8" t="s">
        <v>975</v>
      </c>
    </row>
    <row r="163" spans="2:10" x14ac:dyDescent="0.2">
      <c r="B163" s="548"/>
      <c r="C163" s="548"/>
      <c r="D163" s="548"/>
      <c r="E163" s="548"/>
      <c r="F163" s="548"/>
      <c r="G163" s="548"/>
      <c r="H163" s="548"/>
      <c r="J163" s="8" t="s">
        <v>975</v>
      </c>
    </row>
    <row r="164" spans="2:10" ht="27" customHeight="1" x14ac:dyDescent="0.2">
      <c r="B164" s="523" t="s">
        <v>757</v>
      </c>
      <c r="C164" s="540" t="str">
        <f>B172</f>
        <v>JANELA DE ALUMÍNIO DE CORRER COM 2 FOLHAS PARA VIDROS (80X100CM), COM VIDROS, BATENTE, ACABAMENTO COM ACETATO OU BRILHANTE E FERRAGENS, INCLUSIVE ALIZAR E CONTRAMARCO - FORNECIMENTO E INSTALAÇÃO.</v>
      </c>
      <c r="D164" s="540"/>
      <c r="E164" s="540"/>
      <c r="F164" s="540"/>
      <c r="G164" s="540"/>
      <c r="H164" s="96" t="s">
        <v>251</v>
      </c>
      <c r="J164" s="8" t="s">
        <v>975</v>
      </c>
    </row>
    <row r="165" spans="2:10" ht="15" customHeight="1" x14ac:dyDescent="0.2">
      <c r="B165" s="523"/>
      <c r="C165" s="56" t="s">
        <v>233</v>
      </c>
      <c r="D165" s="57" t="s">
        <v>234</v>
      </c>
      <c r="E165" s="57" t="s">
        <v>47</v>
      </c>
      <c r="F165" s="57" t="s">
        <v>37</v>
      </c>
      <c r="G165" s="58" t="s">
        <v>48</v>
      </c>
      <c r="H165" s="58" t="s">
        <v>235</v>
      </c>
      <c r="J165" s="8" t="s">
        <v>975</v>
      </c>
    </row>
    <row r="166" spans="2:10" ht="38.25" x14ac:dyDescent="0.2">
      <c r="B166" s="59" t="s">
        <v>49</v>
      </c>
      <c r="C166" s="59">
        <v>4377</v>
      </c>
      <c r="D166" s="60" t="s">
        <v>758</v>
      </c>
      <c r="E166" s="59" t="s">
        <v>309</v>
      </c>
      <c r="F166" s="218">
        <v>9.1999999999999993</v>
      </c>
      <c r="G166" s="62">
        <v>0.2</v>
      </c>
      <c r="H166" s="157">
        <f>G166*F166</f>
        <v>1.84</v>
      </c>
      <c r="J166" s="8" t="s">
        <v>975</v>
      </c>
    </row>
    <row r="167" spans="2:10" ht="38.25" x14ac:dyDescent="0.2">
      <c r="B167" s="70" t="s">
        <v>49</v>
      </c>
      <c r="C167" s="70">
        <v>36896</v>
      </c>
      <c r="D167" s="71" t="s">
        <v>1096</v>
      </c>
      <c r="E167" s="70" t="s">
        <v>309</v>
      </c>
      <c r="F167" s="219">
        <v>0.83299999999999996</v>
      </c>
      <c r="G167" s="68">
        <v>417.22</v>
      </c>
      <c r="H167" s="183">
        <f t="shared" ref="H167" si="22">G167*F167</f>
        <v>347.54</v>
      </c>
      <c r="J167" s="8" t="s">
        <v>975</v>
      </c>
    </row>
    <row r="168" spans="2:10" x14ac:dyDescent="0.2">
      <c r="B168" s="59" t="s">
        <v>49</v>
      </c>
      <c r="C168" s="59">
        <v>39961</v>
      </c>
      <c r="D168" s="60" t="s">
        <v>723</v>
      </c>
      <c r="E168" s="59" t="s">
        <v>309</v>
      </c>
      <c r="F168" s="218">
        <v>0.623</v>
      </c>
      <c r="G168" s="62">
        <v>27.57</v>
      </c>
      <c r="H168" s="157">
        <f>G168*F168</f>
        <v>17.18</v>
      </c>
      <c r="J168" s="8" t="s">
        <v>975</v>
      </c>
    </row>
    <row r="169" spans="2:10" x14ac:dyDescent="0.2">
      <c r="B169" s="65" t="s">
        <v>296</v>
      </c>
      <c r="C169" s="65">
        <v>88309</v>
      </c>
      <c r="D169" s="66" t="s">
        <v>281</v>
      </c>
      <c r="E169" s="65" t="s">
        <v>54</v>
      </c>
      <c r="F169" s="185">
        <v>0.51900000000000002</v>
      </c>
      <c r="G169" s="68">
        <f>G97</f>
        <v>21.83</v>
      </c>
      <c r="H169" s="183">
        <f t="shared" ref="H169:H170" si="23">G169*F169</f>
        <v>11.33</v>
      </c>
      <c r="J169" s="8" t="s">
        <v>975</v>
      </c>
    </row>
    <row r="170" spans="2:10" ht="12.75" customHeight="1" x14ac:dyDescent="0.2">
      <c r="B170" s="59" t="s">
        <v>296</v>
      </c>
      <c r="C170" s="59">
        <v>88316</v>
      </c>
      <c r="D170" s="60" t="s">
        <v>255</v>
      </c>
      <c r="E170" s="59" t="s">
        <v>54</v>
      </c>
      <c r="F170" s="218">
        <v>0.25900000000000001</v>
      </c>
      <c r="G170" s="68">
        <f>G98</f>
        <v>17.420000000000002</v>
      </c>
      <c r="H170" s="157">
        <f t="shared" si="23"/>
        <v>4.51</v>
      </c>
      <c r="J170" s="8" t="s">
        <v>975</v>
      </c>
    </row>
    <row r="171" spans="2:10" x14ac:dyDescent="0.2">
      <c r="B171" s="545"/>
      <c r="C171" s="545"/>
      <c r="D171" s="545"/>
      <c r="E171" s="156"/>
      <c r="F171" s="546" t="s">
        <v>395</v>
      </c>
      <c r="G171" s="546"/>
      <c r="H171" s="222">
        <f>SUM(H166:H170)</f>
        <v>382.4</v>
      </c>
      <c r="J171" s="8" t="s">
        <v>975</v>
      </c>
    </row>
    <row r="172" spans="2:10" ht="27" customHeight="1" x14ac:dyDescent="0.2">
      <c r="B172" s="540" t="s">
        <v>1101</v>
      </c>
      <c r="C172" s="540"/>
      <c r="D172" s="540"/>
      <c r="E172" s="540"/>
      <c r="F172" s="540"/>
      <c r="G172" s="540"/>
      <c r="H172" s="96" t="s">
        <v>309</v>
      </c>
      <c r="J172" s="8" t="s">
        <v>975</v>
      </c>
    </row>
    <row r="173" spans="2:10" ht="51" x14ac:dyDescent="0.2">
      <c r="B173" s="59" t="s">
        <v>50</v>
      </c>
      <c r="C173" s="59" t="str">
        <f>B164</f>
        <v>PMA ESQ 014</v>
      </c>
      <c r="D173" s="158" t="str">
        <f>B172</f>
        <v>JANELA DE ALUMÍNIO DE CORRER COM 2 FOLHAS PARA VIDROS (80X100CM), COM VIDROS, BATENTE, ACABAMENTO COM ACETATO OU BRILHANTE E FERRAGENS, INCLUSIVE ALIZAR E CONTRAMARCO - FORNECIMENTO E INSTALAÇÃO.</v>
      </c>
      <c r="E173" s="59" t="s">
        <v>251</v>
      </c>
      <c r="F173" s="59">
        <f>0.8*1</f>
        <v>0.8</v>
      </c>
      <c r="G173" s="62">
        <f>H171</f>
        <v>382.4</v>
      </c>
      <c r="H173" s="157">
        <f>G173*F173</f>
        <v>305.92</v>
      </c>
      <c r="J173" s="8" t="s">
        <v>975</v>
      </c>
    </row>
    <row r="174" spans="2:10" ht="27" customHeight="1" x14ac:dyDescent="0.2">
      <c r="B174" s="59" t="s">
        <v>296</v>
      </c>
      <c r="C174" s="59">
        <v>94589</v>
      </c>
      <c r="D174" s="60" t="s">
        <v>1097</v>
      </c>
      <c r="E174" s="59" t="s">
        <v>248</v>
      </c>
      <c r="F174" s="218">
        <v>3.6</v>
      </c>
      <c r="G174" s="68">
        <v>20.100000000000001</v>
      </c>
      <c r="H174" s="157">
        <f>G174*F174</f>
        <v>72.36</v>
      </c>
      <c r="J174" s="8" t="s">
        <v>975</v>
      </c>
    </row>
    <row r="175" spans="2:10" ht="38.25" x14ac:dyDescent="0.2">
      <c r="B175" s="65" t="s">
        <v>49</v>
      </c>
      <c r="C175" s="65">
        <v>36888</v>
      </c>
      <c r="D175" s="66" t="s">
        <v>964</v>
      </c>
      <c r="E175" s="65" t="s">
        <v>248</v>
      </c>
      <c r="F175" s="218">
        <f>F174</f>
        <v>3.6</v>
      </c>
      <c r="G175" s="68">
        <v>30.59</v>
      </c>
      <c r="H175" s="157">
        <f>G175*F175</f>
        <v>110.12</v>
      </c>
      <c r="J175" s="8" t="s">
        <v>975</v>
      </c>
    </row>
    <row r="176" spans="2:10" ht="14.45" customHeight="1" x14ac:dyDescent="0.2">
      <c r="B176" s="547" t="s">
        <v>763</v>
      </c>
      <c r="C176" s="547"/>
      <c r="D176" s="547"/>
      <c r="E176" s="217"/>
      <c r="F176" s="543" t="s">
        <v>1077</v>
      </c>
      <c r="G176" s="543"/>
      <c r="H176" s="216">
        <f>SUM(H173:H175)</f>
        <v>488.4</v>
      </c>
      <c r="J176" s="8" t="s">
        <v>975</v>
      </c>
    </row>
    <row r="177" spans="2:10" x14ac:dyDescent="0.2">
      <c r="B177" s="544"/>
      <c r="C177" s="544"/>
      <c r="D177" s="544"/>
      <c r="E177" s="544"/>
      <c r="F177" s="544"/>
      <c r="G177" s="544"/>
      <c r="H177" s="544"/>
      <c r="J177" s="8" t="s">
        <v>975</v>
      </c>
    </row>
    <row r="178" spans="2:10" ht="27" customHeight="1" x14ac:dyDescent="0.2">
      <c r="B178" s="523" t="s">
        <v>759</v>
      </c>
      <c r="C178" s="540" t="str">
        <f>B186</f>
        <v>JANELA DE ALUMÍNIO DE CORRER COM 2 FOLHAS PARA VIDROS (100X100CM), COM VIDROS, BATENTE, ACABAMENTO COM ACETATO OU BRILHANTE E FERRAGENS, INCLUSIVE ALIZAR E CONTRAMARCO - FORNECIMENTO E INSTALAÇÃO.</v>
      </c>
      <c r="D178" s="540"/>
      <c r="E178" s="540"/>
      <c r="F178" s="540"/>
      <c r="G178" s="540"/>
      <c r="H178" s="96" t="s">
        <v>251</v>
      </c>
      <c r="J178" s="8" t="s">
        <v>975</v>
      </c>
    </row>
    <row r="179" spans="2:10" ht="15" customHeight="1" x14ac:dyDescent="0.2">
      <c r="B179" s="523"/>
      <c r="C179" s="56" t="s">
        <v>233</v>
      </c>
      <c r="D179" s="57" t="s">
        <v>234</v>
      </c>
      <c r="E179" s="57" t="s">
        <v>47</v>
      </c>
      <c r="F179" s="57" t="s">
        <v>37</v>
      </c>
      <c r="G179" s="58" t="s">
        <v>48</v>
      </c>
      <c r="H179" s="58" t="s">
        <v>235</v>
      </c>
      <c r="J179" s="8" t="s">
        <v>975</v>
      </c>
    </row>
    <row r="180" spans="2:10" ht="38.25" x14ac:dyDescent="0.2">
      <c r="B180" s="59" t="s">
        <v>49</v>
      </c>
      <c r="C180" s="59">
        <v>4377</v>
      </c>
      <c r="D180" s="60" t="s">
        <v>758</v>
      </c>
      <c r="E180" s="59" t="s">
        <v>309</v>
      </c>
      <c r="F180" s="218">
        <v>9.1999999999999993</v>
      </c>
      <c r="G180" s="62">
        <f>G166</f>
        <v>0.2</v>
      </c>
      <c r="H180" s="157">
        <f>G180*F180</f>
        <v>1.84</v>
      </c>
      <c r="J180" s="8" t="s">
        <v>975</v>
      </c>
    </row>
    <row r="181" spans="2:10" ht="38.25" x14ac:dyDescent="0.2">
      <c r="B181" s="70" t="s">
        <v>49</v>
      </c>
      <c r="C181" s="70">
        <v>36896</v>
      </c>
      <c r="D181" s="71" t="s">
        <v>1096</v>
      </c>
      <c r="E181" s="70" t="s">
        <v>309</v>
      </c>
      <c r="F181" s="219">
        <v>0.83299999999999996</v>
      </c>
      <c r="G181" s="68">
        <f>G167</f>
        <v>417.22</v>
      </c>
      <c r="H181" s="183">
        <f t="shared" ref="H181" si="24">G181*F181</f>
        <v>347.54</v>
      </c>
      <c r="J181" s="8" t="s">
        <v>975</v>
      </c>
    </row>
    <row r="182" spans="2:10" x14ac:dyDescent="0.2">
      <c r="B182" s="59" t="s">
        <v>49</v>
      </c>
      <c r="C182" s="59">
        <v>39961</v>
      </c>
      <c r="D182" s="60" t="s">
        <v>723</v>
      </c>
      <c r="E182" s="59" t="s">
        <v>309</v>
      </c>
      <c r="F182" s="218">
        <v>0.623</v>
      </c>
      <c r="G182" s="62">
        <f>G168</f>
        <v>27.57</v>
      </c>
      <c r="H182" s="157">
        <f>G182*F182</f>
        <v>17.18</v>
      </c>
      <c r="J182" s="8" t="s">
        <v>975</v>
      </c>
    </row>
    <row r="183" spans="2:10" ht="12.75" customHeight="1" x14ac:dyDescent="0.2">
      <c r="B183" s="65" t="s">
        <v>296</v>
      </c>
      <c r="C183" s="65">
        <v>88309</v>
      </c>
      <c r="D183" s="66" t="s">
        <v>281</v>
      </c>
      <c r="E183" s="65" t="s">
        <v>54</v>
      </c>
      <c r="F183" s="185">
        <v>0.51900000000000002</v>
      </c>
      <c r="G183" s="68">
        <f>G169</f>
        <v>21.83</v>
      </c>
      <c r="H183" s="183">
        <f t="shared" ref="H183:H184" si="25">G183*F183</f>
        <v>11.33</v>
      </c>
      <c r="J183" s="8" t="s">
        <v>975</v>
      </c>
    </row>
    <row r="184" spans="2:10" ht="12.75" customHeight="1" x14ac:dyDescent="0.2">
      <c r="B184" s="59" t="s">
        <v>296</v>
      </c>
      <c r="C184" s="59">
        <v>88316</v>
      </c>
      <c r="D184" s="60" t="s">
        <v>255</v>
      </c>
      <c r="E184" s="59" t="s">
        <v>54</v>
      </c>
      <c r="F184" s="218">
        <v>0.25900000000000001</v>
      </c>
      <c r="G184" s="68">
        <f>G170</f>
        <v>17.420000000000002</v>
      </c>
      <c r="H184" s="157">
        <f t="shared" si="25"/>
        <v>4.51</v>
      </c>
      <c r="J184" s="8" t="s">
        <v>975</v>
      </c>
    </row>
    <row r="185" spans="2:10" ht="13.15" customHeight="1" x14ac:dyDescent="0.2">
      <c r="B185" s="545"/>
      <c r="C185" s="545"/>
      <c r="D185" s="545"/>
      <c r="E185" s="156"/>
      <c r="F185" s="546" t="s">
        <v>395</v>
      </c>
      <c r="G185" s="546"/>
      <c r="H185" s="222">
        <f>SUM(H180:H184)</f>
        <v>382.4</v>
      </c>
      <c r="J185" s="8" t="s">
        <v>975</v>
      </c>
    </row>
    <row r="186" spans="2:10" ht="27" customHeight="1" x14ac:dyDescent="0.2">
      <c r="B186" s="540" t="s">
        <v>1102</v>
      </c>
      <c r="C186" s="540"/>
      <c r="D186" s="540"/>
      <c r="E186" s="540"/>
      <c r="F186" s="540"/>
      <c r="G186" s="540"/>
      <c r="H186" s="96" t="s">
        <v>309</v>
      </c>
      <c r="J186" s="8" t="s">
        <v>975</v>
      </c>
    </row>
    <row r="187" spans="2:10" ht="51" x14ac:dyDescent="0.2">
      <c r="B187" s="59" t="s">
        <v>50</v>
      </c>
      <c r="C187" s="59" t="str">
        <f>B178</f>
        <v>PMA ESQ 015</v>
      </c>
      <c r="D187" s="158" t="str">
        <f>B186</f>
        <v>JANELA DE ALUMÍNIO DE CORRER COM 2 FOLHAS PARA VIDROS (100X100CM), COM VIDROS, BATENTE, ACABAMENTO COM ACETATO OU BRILHANTE E FERRAGENS, INCLUSIVE ALIZAR E CONTRAMARCO - FORNECIMENTO E INSTALAÇÃO.</v>
      </c>
      <c r="E187" s="59" t="s">
        <v>251</v>
      </c>
      <c r="F187" s="218">
        <f>1*1</f>
        <v>1</v>
      </c>
      <c r="G187" s="62">
        <f>H185</f>
        <v>382.4</v>
      </c>
      <c r="H187" s="157">
        <f>G187*F187</f>
        <v>382.4</v>
      </c>
      <c r="J187" s="8" t="s">
        <v>975</v>
      </c>
    </row>
    <row r="188" spans="2:10" ht="25.5" x14ac:dyDescent="0.2">
      <c r="B188" s="59" t="s">
        <v>296</v>
      </c>
      <c r="C188" s="59">
        <v>94589</v>
      </c>
      <c r="D188" s="60" t="s">
        <v>1097</v>
      </c>
      <c r="E188" s="59" t="s">
        <v>248</v>
      </c>
      <c r="F188" s="218">
        <v>4</v>
      </c>
      <c r="G188" s="62">
        <f>G174</f>
        <v>20.100000000000001</v>
      </c>
      <c r="H188" s="157">
        <f>G188*F188</f>
        <v>80.400000000000006</v>
      </c>
      <c r="J188" s="8" t="s">
        <v>975</v>
      </c>
    </row>
    <row r="189" spans="2:10" ht="38.25" x14ac:dyDescent="0.2">
      <c r="B189" s="65" t="s">
        <v>49</v>
      </c>
      <c r="C189" s="65">
        <v>36888</v>
      </c>
      <c r="D189" s="66" t="s">
        <v>964</v>
      </c>
      <c r="E189" s="65" t="s">
        <v>248</v>
      </c>
      <c r="F189" s="218">
        <f>F188</f>
        <v>4</v>
      </c>
      <c r="G189" s="62">
        <f>G175</f>
        <v>30.59</v>
      </c>
      <c r="H189" s="157">
        <f>G189*F189</f>
        <v>122.36</v>
      </c>
      <c r="J189" s="8" t="s">
        <v>975</v>
      </c>
    </row>
    <row r="190" spans="2:10" ht="13.9" customHeight="1" x14ac:dyDescent="0.2">
      <c r="B190" s="547" t="s">
        <v>763</v>
      </c>
      <c r="C190" s="547"/>
      <c r="D190" s="547"/>
      <c r="E190" s="217"/>
      <c r="F190" s="543" t="s">
        <v>1077</v>
      </c>
      <c r="G190" s="543"/>
      <c r="H190" s="216">
        <f>SUM(H187:H189)</f>
        <v>585.16</v>
      </c>
      <c r="J190" s="8" t="s">
        <v>975</v>
      </c>
    </row>
    <row r="191" spans="2:10" x14ac:dyDescent="0.2">
      <c r="B191" s="142"/>
      <c r="C191" s="142"/>
      <c r="D191" s="142"/>
      <c r="E191" s="142"/>
      <c r="F191" s="142"/>
      <c r="G191" s="142"/>
      <c r="H191" s="142"/>
      <c r="J191" s="8" t="s">
        <v>975</v>
      </c>
    </row>
    <row r="192" spans="2:10" ht="27" customHeight="1" x14ac:dyDescent="0.2">
      <c r="B192" s="523" t="s">
        <v>760</v>
      </c>
      <c r="C192" s="540" t="str">
        <f>B200</f>
        <v>JANELA DE ALUMÍNIO DE CORRER COM 2 FOLHAS PARA VIDROS (100X120CM), COM VIDROS, BATENTE, ACABAMENTO COM ACETATO OU BRILHANTE E FERRAGENS, INCLUSIVE ALIZAR E CONTRAMARCO - FORNECIMENTO E INSTALAÇÃO.</v>
      </c>
      <c r="D192" s="540"/>
      <c r="E192" s="540"/>
      <c r="F192" s="540"/>
      <c r="G192" s="540"/>
      <c r="H192" s="96" t="s">
        <v>251</v>
      </c>
      <c r="J192" s="8" t="s">
        <v>975</v>
      </c>
    </row>
    <row r="193" spans="2:10" ht="15" customHeight="1" x14ac:dyDescent="0.2">
      <c r="B193" s="523"/>
      <c r="C193" s="56" t="s">
        <v>233</v>
      </c>
      <c r="D193" s="57" t="s">
        <v>234</v>
      </c>
      <c r="E193" s="57" t="s">
        <v>47</v>
      </c>
      <c r="F193" s="57" t="s">
        <v>37</v>
      </c>
      <c r="G193" s="58" t="s">
        <v>48</v>
      </c>
      <c r="H193" s="58" t="s">
        <v>235</v>
      </c>
      <c r="J193" s="8" t="s">
        <v>975</v>
      </c>
    </row>
    <row r="194" spans="2:10" ht="38.25" x14ac:dyDescent="0.2">
      <c r="B194" s="59" t="s">
        <v>49</v>
      </c>
      <c r="C194" s="59">
        <v>4377</v>
      </c>
      <c r="D194" s="60" t="s">
        <v>758</v>
      </c>
      <c r="E194" s="59" t="s">
        <v>309</v>
      </c>
      <c r="F194" s="218">
        <v>9.1999999999999993</v>
      </c>
      <c r="G194" s="62">
        <f>G180</f>
        <v>0.2</v>
      </c>
      <c r="H194" s="157">
        <f>G194*F194</f>
        <v>1.84</v>
      </c>
      <c r="J194" s="8" t="s">
        <v>975</v>
      </c>
    </row>
    <row r="195" spans="2:10" ht="38.25" x14ac:dyDescent="0.2">
      <c r="B195" s="70" t="s">
        <v>49</v>
      </c>
      <c r="C195" s="70">
        <v>36896</v>
      </c>
      <c r="D195" s="71" t="s">
        <v>1096</v>
      </c>
      <c r="E195" s="70" t="s">
        <v>309</v>
      </c>
      <c r="F195" s="219">
        <v>0.83299999999999996</v>
      </c>
      <c r="G195" s="68">
        <f>G181</f>
        <v>417.22</v>
      </c>
      <c r="H195" s="183">
        <f t="shared" ref="H195" si="26">G195*F195</f>
        <v>347.54</v>
      </c>
      <c r="J195" s="8" t="s">
        <v>975</v>
      </c>
    </row>
    <row r="196" spans="2:10" x14ac:dyDescent="0.2">
      <c r="B196" s="59" t="s">
        <v>49</v>
      </c>
      <c r="C196" s="59">
        <v>39961</v>
      </c>
      <c r="D196" s="60" t="s">
        <v>723</v>
      </c>
      <c r="E196" s="59" t="s">
        <v>309</v>
      </c>
      <c r="F196" s="218">
        <v>0.623</v>
      </c>
      <c r="G196" s="62">
        <f>G182</f>
        <v>27.57</v>
      </c>
      <c r="H196" s="157">
        <f>G196*F196</f>
        <v>17.18</v>
      </c>
      <c r="J196" s="8" t="s">
        <v>975</v>
      </c>
    </row>
    <row r="197" spans="2:10" x14ac:dyDescent="0.2">
      <c r="B197" s="65" t="s">
        <v>296</v>
      </c>
      <c r="C197" s="65">
        <v>88309</v>
      </c>
      <c r="D197" s="66" t="s">
        <v>281</v>
      </c>
      <c r="E197" s="65" t="s">
        <v>54</v>
      </c>
      <c r="F197" s="185">
        <v>0.51900000000000002</v>
      </c>
      <c r="G197" s="68">
        <f>G183</f>
        <v>21.83</v>
      </c>
      <c r="H197" s="183">
        <f t="shared" ref="H197:H198" si="27">G197*F197</f>
        <v>11.33</v>
      </c>
      <c r="J197" s="8" t="s">
        <v>975</v>
      </c>
    </row>
    <row r="198" spans="2:10" x14ac:dyDescent="0.2">
      <c r="B198" s="59" t="s">
        <v>296</v>
      </c>
      <c r="C198" s="59">
        <v>88316</v>
      </c>
      <c r="D198" s="60" t="s">
        <v>255</v>
      </c>
      <c r="E198" s="59" t="s">
        <v>54</v>
      </c>
      <c r="F198" s="218">
        <v>0.25900000000000001</v>
      </c>
      <c r="G198" s="68">
        <f>G184</f>
        <v>17.420000000000002</v>
      </c>
      <c r="H198" s="157">
        <f t="shared" si="27"/>
        <v>4.51</v>
      </c>
      <c r="J198" s="8" t="s">
        <v>975</v>
      </c>
    </row>
    <row r="199" spans="2:10" x14ac:dyDescent="0.2">
      <c r="B199" s="545"/>
      <c r="C199" s="545"/>
      <c r="D199" s="545"/>
      <c r="E199" s="156"/>
      <c r="F199" s="546" t="s">
        <v>395</v>
      </c>
      <c r="G199" s="546"/>
      <c r="H199" s="222">
        <f>SUM(H194:H198)</f>
        <v>382.4</v>
      </c>
      <c r="J199" s="8" t="s">
        <v>975</v>
      </c>
    </row>
    <row r="200" spans="2:10" ht="27" customHeight="1" x14ac:dyDescent="0.2">
      <c r="B200" s="540" t="s">
        <v>1103</v>
      </c>
      <c r="C200" s="540"/>
      <c r="D200" s="540"/>
      <c r="E200" s="540"/>
      <c r="F200" s="540"/>
      <c r="G200" s="540"/>
      <c r="H200" s="96" t="s">
        <v>309</v>
      </c>
      <c r="J200" s="8" t="s">
        <v>975</v>
      </c>
    </row>
    <row r="201" spans="2:10" ht="51" x14ac:dyDescent="0.2">
      <c r="B201" s="59" t="s">
        <v>50</v>
      </c>
      <c r="C201" s="59" t="str">
        <f>B192</f>
        <v>PMA ESQ 016</v>
      </c>
      <c r="D201" s="158" t="str">
        <f>B200</f>
        <v>JANELA DE ALUMÍNIO DE CORRER COM 2 FOLHAS PARA VIDROS (100X120CM), COM VIDROS, BATENTE, ACABAMENTO COM ACETATO OU BRILHANTE E FERRAGENS, INCLUSIVE ALIZAR E CONTRAMARCO - FORNECIMENTO E INSTALAÇÃO.</v>
      </c>
      <c r="E201" s="59" t="s">
        <v>251</v>
      </c>
      <c r="F201" s="218">
        <f>1.2*1</f>
        <v>1.2</v>
      </c>
      <c r="G201" s="62">
        <f>H199</f>
        <v>382.4</v>
      </c>
      <c r="H201" s="157">
        <f>G201*F201</f>
        <v>458.88</v>
      </c>
      <c r="J201" s="8" t="s">
        <v>975</v>
      </c>
    </row>
    <row r="202" spans="2:10" ht="25.5" x14ac:dyDescent="0.2">
      <c r="B202" s="59" t="s">
        <v>296</v>
      </c>
      <c r="C202" s="59">
        <v>94589</v>
      </c>
      <c r="D202" s="60" t="s">
        <v>1097</v>
      </c>
      <c r="E202" s="59" t="s">
        <v>248</v>
      </c>
      <c r="F202" s="218">
        <v>4.4000000000000004</v>
      </c>
      <c r="G202" s="68">
        <f>G188</f>
        <v>20.100000000000001</v>
      </c>
      <c r="H202" s="157">
        <f>G202*F202</f>
        <v>88.44</v>
      </c>
      <c r="J202" s="8" t="s">
        <v>975</v>
      </c>
    </row>
    <row r="203" spans="2:10" ht="38.25" x14ac:dyDescent="0.2">
      <c r="B203" s="65" t="s">
        <v>49</v>
      </c>
      <c r="C203" s="65">
        <v>36888</v>
      </c>
      <c r="D203" s="66" t="s">
        <v>964</v>
      </c>
      <c r="E203" s="65" t="s">
        <v>248</v>
      </c>
      <c r="F203" s="218">
        <f>F202</f>
        <v>4.4000000000000004</v>
      </c>
      <c r="G203" s="68">
        <f>G189</f>
        <v>30.59</v>
      </c>
      <c r="H203" s="157">
        <f>G203*F203</f>
        <v>134.6</v>
      </c>
      <c r="J203" s="8" t="s">
        <v>975</v>
      </c>
    </row>
    <row r="204" spans="2:10" x14ac:dyDescent="0.2">
      <c r="B204" s="547" t="s">
        <v>763</v>
      </c>
      <c r="C204" s="547"/>
      <c r="D204" s="547"/>
      <c r="E204" s="217"/>
      <c r="F204" s="543" t="s">
        <v>1077</v>
      </c>
      <c r="G204" s="543"/>
      <c r="H204" s="216">
        <f>SUM(H201:H203)</f>
        <v>681.92</v>
      </c>
      <c r="J204" s="8" t="s">
        <v>975</v>
      </c>
    </row>
    <row r="205" spans="2:10" x14ac:dyDescent="0.2">
      <c r="B205" s="142"/>
      <c r="C205" s="142"/>
      <c r="D205" s="142"/>
      <c r="E205" s="142"/>
      <c r="F205" s="142"/>
      <c r="G205" s="142"/>
      <c r="H205" s="142"/>
      <c r="J205" s="8" t="s">
        <v>975</v>
      </c>
    </row>
    <row r="206" spans="2:10" ht="42.6" customHeight="1" x14ac:dyDescent="0.2">
      <c r="B206" s="523" t="s">
        <v>765</v>
      </c>
      <c r="C206" s="540" t="s">
        <v>1105</v>
      </c>
      <c r="D206" s="523"/>
      <c r="E206" s="523"/>
      <c r="F206" s="523"/>
      <c r="G206" s="523"/>
      <c r="H206" s="96" t="s">
        <v>309</v>
      </c>
      <c r="J206" s="8" t="s">
        <v>975</v>
      </c>
    </row>
    <row r="207" spans="2:10" ht="15" customHeight="1" x14ac:dyDescent="0.2">
      <c r="B207" s="523"/>
      <c r="C207" s="56" t="s">
        <v>233</v>
      </c>
      <c r="D207" s="57" t="s">
        <v>234</v>
      </c>
      <c r="E207" s="57" t="s">
        <v>47</v>
      </c>
      <c r="F207" s="57" t="s">
        <v>37</v>
      </c>
      <c r="G207" s="58" t="s">
        <v>48</v>
      </c>
      <c r="H207" s="58" t="s">
        <v>235</v>
      </c>
      <c r="J207" s="8" t="s">
        <v>975</v>
      </c>
    </row>
    <row r="208" spans="2:10" ht="51" x14ac:dyDescent="0.2">
      <c r="B208" s="27" t="s">
        <v>296</v>
      </c>
      <c r="C208" s="25" t="str">
        <f>C201</f>
        <v>PMA ESQ 016</v>
      </c>
      <c r="D208" s="25" t="s">
        <v>1106</v>
      </c>
      <c r="E208" s="27" t="str">
        <f t="shared" ref="E208:H208" si="28">E201</f>
        <v>M2</v>
      </c>
      <c r="F208" s="82">
        <f t="shared" si="28"/>
        <v>1.2</v>
      </c>
      <c r="G208" s="62">
        <f>G201</f>
        <v>382.4</v>
      </c>
      <c r="H208" s="62">
        <f t="shared" si="28"/>
        <v>458.88</v>
      </c>
      <c r="J208" s="8" t="s">
        <v>975</v>
      </c>
    </row>
    <row r="209" spans="2:10" ht="25.5" x14ac:dyDescent="0.2">
      <c r="B209" s="59" t="s">
        <v>296</v>
      </c>
      <c r="C209" s="59">
        <v>94589</v>
      </c>
      <c r="D209" s="60" t="s">
        <v>1097</v>
      </c>
      <c r="E209" s="59" t="s">
        <v>248</v>
      </c>
      <c r="F209" s="218">
        <v>3.2</v>
      </c>
      <c r="G209" s="68">
        <f>G202</f>
        <v>20.100000000000001</v>
      </c>
      <c r="H209" s="157">
        <f>G209*F209</f>
        <v>64.319999999999993</v>
      </c>
      <c r="J209" s="8" t="s">
        <v>975</v>
      </c>
    </row>
    <row r="210" spans="2:10" ht="38.25" x14ac:dyDescent="0.2">
      <c r="B210" s="65" t="s">
        <v>49</v>
      </c>
      <c r="C210" s="65">
        <v>36888</v>
      </c>
      <c r="D210" s="66" t="s">
        <v>964</v>
      </c>
      <c r="E210" s="65" t="s">
        <v>248</v>
      </c>
      <c r="F210" s="218">
        <f>3.2*2</f>
        <v>6.4</v>
      </c>
      <c r="G210" s="68">
        <f>G203</f>
        <v>30.59</v>
      </c>
      <c r="H210" s="157">
        <f>G210*F210</f>
        <v>195.78</v>
      </c>
      <c r="J210" s="8" t="s">
        <v>975</v>
      </c>
    </row>
    <row r="211" spans="2:10" ht="25.5" x14ac:dyDescent="0.2">
      <c r="B211" s="65" t="s">
        <v>49</v>
      </c>
      <c r="C211" s="65">
        <v>4825</v>
      </c>
      <c r="D211" s="66" t="s">
        <v>1104</v>
      </c>
      <c r="E211" s="65" t="s">
        <v>248</v>
      </c>
      <c r="F211" s="67">
        <v>2.4</v>
      </c>
      <c r="G211" s="68">
        <v>142.35</v>
      </c>
      <c r="H211" s="183">
        <f>G211*F211</f>
        <v>341.64</v>
      </c>
      <c r="J211" s="8" t="s">
        <v>975</v>
      </c>
    </row>
    <row r="212" spans="2:10" ht="51" x14ac:dyDescent="0.2">
      <c r="B212" s="59" t="s">
        <v>296</v>
      </c>
      <c r="C212" s="59">
        <v>87283</v>
      </c>
      <c r="D212" s="60" t="s">
        <v>761</v>
      </c>
      <c r="E212" s="59" t="s">
        <v>257</v>
      </c>
      <c r="F212" s="59">
        <f>0.006*1.2</f>
        <v>7.1999999999999998E-3</v>
      </c>
      <c r="G212" s="62">
        <v>503.26</v>
      </c>
      <c r="H212" s="157">
        <f t="shared" ref="H212:H216" si="29">G212*F212</f>
        <v>3.62</v>
      </c>
      <c r="J212" s="8" t="s">
        <v>975</v>
      </c>
    </row>
    <row r="213" spans="2:10" x14ac:dyDescent="0.2">
      <c r="B213" s="59" t="s">
        <v>296</v>
      </c>
      <c r="C213" s="59">
        <v>88274</v>
      </c>
      <c r="D213" s="60" t="s">
        <v>762</v>
      </c>
      <c r="E213" s="59" t="s">
        <v>54</v>
      </c>
      <c r="F213" s="59">
        <f>1.2*0.419</f>
        <v>0.50280000000000002</v>
      </c>
      <c r="G213" s="62">
        <v>21.72</v>
      </c>
      <c r="H213" s="157">
        <f t="shared" si="29"/>
        <v>10.92</v>
      </c>
      <c r="J213" s="8" t="s">
        <v>975</v>
      </c>
    </row>
    <row r="214" spans="2:10" x14ac:dyDescent="0.2">
      <c r="B214" s="59" t="s">
        <v>296</v>
      </c>
      <c r="C214" s="59">
        <v>88316</v>
      </c>
      <c r="D214" s="60" t="s">
        <v>255</v>
      </c>
      <c r="E214" s="59" t="s">
        <v>54</v>
      </c>
      <c r="F214" s="59">
        <f>1.2*0.209</f>
        <v>0.25080000000000002</v>
      </c>
      <c r="G214" s="68">
        <v>17.420000000000002</v>
      </c>
      <c r="H214" s="157">
        <f t="shared" si="29"/>
        <v>4.37</v>
      </c>
      <c r="J214" s="8" t="s">
        <v>975</v>
      </c>
    </row>
    <row r="215" spans="2:10" ht="25.5" x14ac:dyDescent="0.2">
      <c r="B215" s="59" t="s">
        <v>296</v>
      </c>
      <c r="C215" s="59">
        <v>91692</v>
      </c>
      <c r="D215" s="60" t="s">
        <v>720</v>
      </c>
      <c r="E215" s="59" t="s">
        <v>289</v>
      </c>
      <c r="F215" s="59">
        <f>1.2*0.021</f>
        <v>2.52E-2</v>
      </c>
      <c r="G215" s="62">
        <v>18.190000000000001</v>
      </c>
      <c r="H215" s="157">
        <f t="shared" si="29"/>
        <v>0.46</v>
      </c>
      <c r="J215" s="8" t="s">
        <v>975</v>
      </c>
    </row>
    <row r="216" spans="2:10" ht="25.5" customHeight="1" x14ac:dyDescent="0.2">
      <c r="B216" s="59" t="s">
        <v>296</v>
      </c>
      <c r="C216" s="59">
        <v>91693</v>
      </c>
      <c r="D216" s="60" t="s">
        <v>721</v>
      </c>
      <c r="E216" s="59" t="s">
        <v>667</v>
      </c>
      <c r="F216" s="59">
        <f>1.2*0.398</f>
        <v>0.47760000000000002</v>
      </c>
      <c r="G216" s="68">
        <v>16.690000000000001</v>
      </c>
      <c r="H216" s="157">
        <f t="shared" si="29"/>
        <v>7.97</v>
      </c>
      <c r="J216" s="8" t="s">
        <v>975</v>
      </c>
    </row>
    <row r="217" spans="2:10" x14ac:dyDescent="0.2">
      <c r="B217" s="547" t="s">
        <v>764</v>
      </c>
      <c r="C217" s="547"/>
      <c r="D217" s="547"/>
      <c r="E217" s="217"/>
      <c r="F217" s="217"/>
      <c r="G217" s="220" t="s">
        <v>5</v>
      </c>
      <c r="H217" s="216">
        <f>SUM(H208:H216)</f>
        <v>1087.96</v>
      </c>
      <c r="J217" s="8" t="s">
        <v>975</v>
      </c>
    </row>
    <row r="218" spans="2:10" x14ac:dyDescent="0.2">
      <c r="B218" s="142"/>
      <c r="C218" s="142"/>
      <c r="D218" s="142"/>
      <c r="E218" s="142"/>
      <c r="F218" s="142"/>
      <c r="G218" s="142"/>
      <c r="H218" s="142"/>
      <c r="J218" s="8" t="s">
        <v>975</v>
      </c>
    </row>
    <row r="219" spans="2:10" ht="27" customHeight="1" x14ac:dyDescent="0.2">
      <c r="B219" s="523" t="s">
        <v>766</v>
      </c>
      <c r="C219" s="540" t="s">
        <v>1108</v>
      </c>
      <c r="D219" s="540"/>
      <c r="E219" s="540"/>
      <c r="F219" s="540"/>
      <c r="G219" s="540"/>
      <c r="H219" s="96" t="s">
        <v>251</v>
      </c>
      <c r="J219" s="8" t="s">
        <v>975</v>
      </c>
    </row>
    <row r="220" spans="2:10" ht="15" customHeight="1" x14ac:dyDescent="0.2">
      <c r="B220" s="523"/>
      <c r="C220" s="56" t="s">
        <v>233</v>
      </c>
      <c r="D220" s="57" t="s">
        <v>234</v>
      </c>
      <c r="E220" s="57" t="s">
        <v>47</v>
      </c>
      <c r="F220" s="57" t="s">
        <v>37</v>
      </c>
      <c r="G220" s="58" t="s">
        <v>48</v>
      </c>
      <c r="H220" s="58" t="s">
        <v>235</v>
      </c>
      <c r="J220" s="8" t="s">
        <v>975</v>
      </c>
    </row>
    <row r="221" spans="2:10" ht="38.25" x14ac:dyDescent="0.2">
      <c r="B221" s="59" t="s">
        <v>49</v>
      </c>
      <c r="C221" s="59">
        <v>4377</v>
      </c>
      <c r="D221" s="60" t="s">
        <v>1107</v>
      </c>
      <c r="E221" s="59" t="s">
        <v>309</v>
      </c>
      <c r="F221" s="218">
        <v>9.1999999999999993</v>
      </c>
      <c r="G221" s="62">
        <f>G194</f>
        <v>0.2</v>
      </c>
      <c r="H221" s="157">
        <f>G221*F221</f>
        <v>1.84</v>
      </c>
      <c r="J221" s="8" t="s">
        <v>975</v>
      </c>
    </row>
    <row r="222" spans="2:10" ht="38.25" x14ac:dyDescent="0.2">
      <c r="B222" s="70" t="s">
        <v>49</v>
      </c>
      <c r="C222" s="70">
        <v>36896</v>
      </c>
      <c r="D222" s="71" t="s">
        <v>1096</v>
      </c>
      <c r="E222" s="70" t="s">
        <v>309</v>
      </c>
      <c r="F222" s="219">
        <v>0.83299999999999996</v>
      </c>
      <c r="G222" s="62">
        <f t="shared" ref="G222:G225" si="30">G195</f>
        <v>417.22</v>
      </c>
      <c r="H222" s="157">
        <f t="shared" ref="H222:H225" si="31">G222*F222</f>
        <v>347.54</v>
      </c>
      <c r="J222" s="8" t="s">
        <v>975</v>
      </c>
    </row>
    <row r="223" spans="2:10" x14ac:dyDescent="0.2">
      <c r="B223" s="59" t="s">
        <v>49</v>
      </c>
      <c r="C223" s="59">
        <v>39961</v>
      </c>
      <c r="D223" s="60" t="s">
        <v>723</v>
      </c>
      <c r="E223" s="59" t="s">
        <v>309</v>
      </c>
      <c r="F223" s="218">
        <v>0.623</v>
      </c>
      <c r="G223" s="62">
        <f t="shared" si="30"/>
        <v>27.57</v>
      </c>
      <c r="H223" s="157">
        <f t="shared" si="31"/>
        <v>17.18</v>
      </c>
      <c r="J223" s="8" t="s">
        <v>975</v>
      </c>
    </row>
    <row r="224" spans="2:10" x14ac:dyDescent="0.2">
      <c r="B224" s="65" t="s">
        <v>296</v>
      </c>
      <c r="C224" s="65">
        <v>88309</v>
      </c>
      <c r="D224" s="66" t="s">
        <v>281</v>
      </c>
      <c r="E224" s="65" t="s">
        <v>54</v>
      </c>
      <c r="F224" s="185">
        <v>0.51900000000000002</v>
      </c>
      <c r="G224" s="62">
        <f t="shared" si="30"/>
        <v>21.83</v>
      </c>
      <c r="H224" s="157">
        <f t="shared" si="31"/>
        <v>11.33</v>
      </c>
      <c r="J224" s="8" t="s">
        <v>975</v>
      </c>
    </row>
    <row r="225" spans="2:10" x14ac:dyDescent="0.2">
      <c r="B225" s="59" t="s">
        <v>296</v>
      </c>
      <c r="C225" s="59">
        <v>88316</v>
      </c>
      <c r="D225" s="60" t="s">
        <v>255</v>
      </c>
      <c r="E225" s="59" t="s">
        <v>54</v>
      </c>
      <c r="F225" s="218">
        <v>0.25900000000000001</v>
      </c>
      <c r="G225" s="62">
        <f t="shared" si="30"/>
        <v>17.420000000000002</v>
      </c>
      <c r="H225" s="157">
        <f t="shared" si="31"/>
        <v>4.51</v>
      </c>
      <c r="J225" s="8" t="s">
        <v>975</v>
      </c>
    </row>
    <row r="226" spans="2:10" x14ac:dyDescent="0.2">
      <c r="B226" s="545"/>
      <c r="C226" s="545"/>
      <c r="D226" s="545"/>
      <c r="E226" s="156"/>
      <c r="F226" s="546" t="s">
        <v>395</v>
      </c>
      <c r="G226" s="546"/>
      <c r="H226" s="222">
        <f>SUM(H221:H225)</f>
        <v>382.4</v>
      </c>
      <c r="J226" s="8" t="s">
        <v>975</v>
      </c>
    </row>
    <row r="227" spans="2:10" ht="27" customHeight="1" x14ac:dyDescent="0.2">
      <c r="B227" s="540" t="s">
        <v>1108</v>
      </c>
      <c r="C227" s="540"/>
      <c r="D227" s="540"/>
      <c r="E227" s="540"/>
      <c r="F227" s="540"/>
      <c r="G227" s="540"/>
      <c r="H227" s="96" t="s">
        <v>309</v>
      </c>
      <c r="J227" s="8" t="s">
        <v>975</v>
      </c>
    </row>
    <row r="228" spans="2:10" ht="51" x14ac:dyDescent="0.2">
      <c r="B228" s="59" t="s">
        <v>50</v>
      </c>
      <c r="C228" s="59" t="str">
        <f>B219</f>
        <v>PMA ESQ 018</v>
      </c>
      <c r="D228" s="158" t="str">
        <f>B227</f>
        <v>JANELA DE ALUMÍNIO DE CORRER COM 2 FOLHAS PARA VIDROS (100X150CM), COM VIDROS, BATENTE, ACABAMENTO COM ACETATO OU BRILHANTE E FERRAGENS, INCLUSIVE ALIZAR E CONTRAMARCO - FORNECIMENTO E INSTALAÇÃO.</v>
      </c>
      <c r="E228" s="59" t="s">
        <v>251</v>
      </c>
      <c r="F228" s="218">
        <f>1.5*1</f>
        <v>1.5</v>
      </c>
      <c r="G228" s="62">
        <f>H226</f>
        <v>382.4</v>
      </c>
      <c r="H228" s="157">
        <f>G228*F228</f>
        <v>573.6</v>
      </c>
      <c r="J228" s="8" t="s">
        <v>975</v>
      </c>
    </row>
    <row r="229" spans="2:10" ht="25.5" x14ac:dyDescent="0.2">
      <c r="B229" s="59" t="s">
        <v>296</v>
      </c>
      <c r="C229" s="59">
        <v>94589</v>
      </c>
      <c r="D229" s="60" t="s">
        <v>1097</v>
      </c>
      <c r="E229" s="59" t="s">
        <v>248</v>
      </c>
      <c r="F229" s="218">
        <v>5</v>
      </c>
      <c r="G229" s="68">
        <f>G202</f>
        <v>20.100000000000001</v>
      </c>
      <c r="H229" s="157">
        <f>G229*F229</f>
        <v>100.5</v>
      </c>
      <c r="J229" s="8" t="s">
        <v>975</v>
      </c>
    </row>
    <row r="230" spans="2:10" ht="38.25" x14ac:dyDescent="0.2">
      <c r="B230" s="65" t="s">
        <v>49</v>
      </c>
      <c r="C230" s="65">
        <v>36888</v>
      </c>
      <c r="D230" s="66" t="s">
        <v>964</v>
      </c>
      <c r="E230" s="65" t="s">
        <v>248</v>
      </c>
      <c r="F230" s="218">
        <f>F229</f>
        <v>5</v>
      </c>
      <c r="G230" s="68">
        <f>G203</f>
        <v>30.59</v>
      </c>
      <c r="H230" s="157">
        <f>G230*F230</f>
        <v>152.94999999999999</v>
      </c>
      <c r="J230" s="8" t="s">
        <v>975</v>
      </c>
    </row>
    <row r="231" spans="2:10" x14ac:dyDescent="0.2">
      <c r="B231" s="547" t="s">
        <v>763</v>
      </c>
      <c r="C231" s="547"/>
      <c r="D231" s="547"/>
      <c r="E231" s="217"/>
      <c r="F231" s="543" t="s">
        <v>1077</v>
      </c>
      <c r="G231" s="543"/>
      <c r="H231" s="216">
        <f>SUM(H228:H230)</f>
        <v>827.05</v>
      </c>
      <c r="J231" s="8" t="s">
        <v>975</v>
      </c>
    </row>
    <row r="232" spans="2:10" x14ac:dyDescent="0.2">
      <c r="B232" s="142"/>
      <c r="C232" s="142"/>
      <c r="D232" s="142"/>
      <c r="E232" s="142"/>
      <c r="F232" s="142"/>
      <c r="G232" s="142"/>
      <c r="H232" s="142"/>
      <c r="J232" s="8" t="s">
        <v>975</v>
      </c>
    </row>
    <row r="233" spans="2:10" ht="27" customHeight="1" x14ac:dyDescent="0.2">
      <c r="B233" s="523" t="s">
        <v>767</v>
      </c>
      <c r="C233" s="540" t="s">
        <v>1109</v>
      </c>
      <c r="D233" s="540"/>
      <c r="E233" s="540"/>
      <c r="F233" s="540"/>
      <c r="G233" s="540"/>
      <c r="H233" s="96" t="s">
        <v>251</v>
      </c>
      <c r="J233" s="8" t="s">
        <v>975</v>
      </c>
    </row>
    <row r="234" spans="2:10" ht="15" customHeight="1" x14ac:dyDescent="0.2">
      <c r="B234" s="523"/>
      <c r="C234" s="56" t="s">
        <v>233</v>
      </c>
      <c r="D234" s="57" t="s">
        <v>234</v>
      </c>
      <c r="E234" s="57" t="s">
        <v>47</v>
      </c>
      <c r="F234" s="57" t="s">
        <v>37</v>
      </c>
      <c r="G234" s="58" t="s">
        <v>48</v>
      </c>
      <c r="H234" s="58" t="s">
        <v>235</v>
      </c>
      <c r="J234" s="8" t="s">
        <v>975</v>
      </c>
    </row>
    <row r="235" spans="2:10" ht="38.25" x14ac:dyDescent="0.2">
      <c r="B235" s="59" t="s">
        <v>49</v>
      </c>
      <c r="C235" s="59">
        <v>4377</v>
      </c>
      <c r="D235" s="60" t="s">
        <v>1107</v>
      </c>
      <c r="E235" s="59" t="s">
        <v>309</v>
      </c>
      <c r="F235" s="218">
        <v>9.1999999999999993</v>
      </c>
      <c r="G235" s="62">
        <f>G221</f>
        <v>0.2</v>
      </c>
      <c r="H235" s="157">
        <f>G235*F235</f>
        <v>1.84</v>
      </c>
      <c r="J235" s="8" t="s">
        <v>975</v>
      </c>
    </row>
    <row r="236" spans="2:10" ht="38.25" x14ac:dyDescent="0.2">
      <c r="B236" s="70" t="s">
        <v>49</v>
      </c>
      <c r="C236" s="70">
        <v>36896</v>
      </c>
      <c r="D236" s="71" t="s">
        <v>1096</v>
      </c>
      <c r="E236" s="70" t="s">
        <v>309</v>
      </c>
      <c r="F236" s="219">
        <v>0.83299999999999996</v>
      </c>
      <c r="G236" s="62">
        <f t="shared" ref="G236:G239" si="32">G222</f>
        <v>417.22</v>
      </c>
      <c r="H236" s="157">
        <f t="shared" ref="H236:H239" si="33">G236*F236</f>
        <v>347.54</v>
      </c>
      <c r="J236" s="8" t="s">
        <v>975</v>
      </c>
    </row>
    <row r="237" spans="2:10" x14ac:dyDescent="0.2">
      <c r="B237" s="59" t="s">
        <v>49</v>
      </c>
      <c r="C237" s="59">
        <v>39961</v>
      </c>
      <c r="D237" s="60" t="s">
        <v>723</v>
      </c>
      <c r="E237" s="59" t="s">
        <v>309</v>
      </c>
      <c r="F237" s="218">
        <v>0.623</v>
      </c>
      <c r="G237" s="62">
        <f t="shared" si="32"/>
        <v>27.57</v>
      </c>
      <c r="H237" s="157">
        <f t="shared" si="33"/>
        <v>17.18</v>
      </c>
      <c r="J237" s="8" t="s">
        <v>975</v>
      </c>
    </row>
    <row r="238" spans="2:10" x14ac:dyDescent="0.2">
      <c r="B238" s="65" t="s">
        <v>296</v>
      </c>
      <c r="C238" s="65">
        <v>88309</v>
      </c>
      <c r="D238" s="66" t="s">
        <v>281</v>
      </c>
      <c r="E238" s="65" t="s">
        <v>54</v>
      </c>
      <c r="F238" s="185">
        <v>0.51900000000000002</v>
      </c>
      <c r="G238" s="62">
        <f t="shared" si="32"/>
        <v>21.83</v>
      </c>
      <c r="H238" s="157">
        <f t="shared" si="33"/>
        <v>11.33</v>
      </c>
      <c r="J238" s="8" t="s">
        <v>975</v>
      </c>
    </row>
    <row r="239" spans="2:10" ht="12.75" customHeight="1" x14ac:dyDescent="0.2">
      <c r="B239" s="59" t="s">
        <v>296</v>
      </c>
      <c r="C239" s="59">
        <v>88316</v>
      </c>
      <c r="D239" s="60" t="s">
        <v>255</v>
      </c>
      <c r="E239" s="59" t="s">
        <v>54</v>
      </c>
      <c r="F239" s="218">
        <v>0.25900000000000001</v>
      </c>
      <c r="G239" s="62">
        <f t="shared" si="32"/>
        <v>17.420000000000002</v>
      </c>
      <c r="H239" s="157">
        <f t="shared" si="33"/>
        <v>4.51</v>
      </c>
      <c r="J239" s="8" t="s">
        <v>975</v>
      </c>
    </row>
    <row r="240" spans="2:10" x14ac:dyDescent="0.2">
      <c r="B240" s="545"/>
      <c r="C240" s="545"/>
      <c r="D240" s="545"/>
      <c r="E240" s="156"/>
      <c r="F240" s="546" t="s">
        <v>395</v>
      </c>
      <c r="G240" s="546"/>
      <c r="H240" s="222">
        <f>SUM(H235:H239)</f>
        <v>382.4</v>
      </c>
      <c r="J240" s="8" t="s">
        <v>975</v>
      </c>
    </row>
    <row r="241" spans="2:10" ht="27" customHeight="1" x14ac:dyDescent="0.2">
      <c r="B241" s="540" t="s">
        <v>1109</v>
      </c>
      <c r="C241" s="540"/>
      <c r="D241" s="540"/>
      <c r="E241" s="540"/>
      <c r="F241" s="540"/>
      <c r="G241" s="540"/>
      <c r="H241" s="96" t="s">
        <v>309</v>
      </c>
      <c r="J241" s="8" t="s">
        <v>975</v>
      </c>
    </row>
    <row r="242" spans="2:10" ht="51" x14ac:dyDescent="0.2">
      <c r="B242" s="59" t="s">
        <v>50</v>
      </c>
      <c r="C242" s="59" t="str">
        <f>B233</f>
        <v>PMA ESQ 019</v>
      </c>
      <c r="D242" s="158" t="str">
        <f>B241</f>
        <v>JANELA DE ALUMÍNIO DE CORRER COM 2 FOLHAS PARA VIDROS (100X200CM), COM VIDROS, BATENTE, ACABAMENTO COM ACETATO OU BRILHANTE E FERRAGENS, INCLUSIVE ALIZAR E CONTRAMARCO - FORNECIMENTO E INSTALAÇÃO.</v>
      </c>
      <c r="E242" s="59" t="s">
        <v>251</v>
      </c>
      <c r="F242" s="218">
        <f>2*1</f>
        <v>2</v>
      </c>
      <c r="G242" s="62">
        <f>H240</f>
        <v>382.4</v>
      </c>
      <c r="H242" s="157">
        <f>G242*F242</f>
        <v>764.8</v>
      </c>
      <c r="J242" s="8" t="s">
        <v>975</v>
      </c>
    </row>
    <row r="243" spans="2:10" ht="25.5" x14ac:dyDescent="0.2">
      <c r="B243" s="59" t="s">
        <v>296</v>
      </c>
      <c r="C243" s="59">
        <v>94589</v>
      </c>
      <c r="D243" s="60" t="s">
        <v>1097</v>
      </c>
      <c r="E243" s="59" t="s">
        <v>248</v>
      </c>
      <c r="F243" s="218">
        <v>6</v>
      </c>
      <c r="G243" s="68">
        <f>G229</f>
        <v>20.100000000000001</v>
      </c>
      <c r="H243" s="157">
        <f>G243*F243</f>
        <v>120.6</v>
      </c>
      <c r="J243" s="8" t="s">
        <v>975</v>
      </c>
    </row>
    <row r="244" spans="2:10" ht="38.25" x14ac:dyDescent="0.2">
      <c r="B244" s="65" t="s">
        <v>49</v>
      </c>
      <c r="C244" s="65">
        <v>36888</v>
      </c>
      <c r="D244" s="66" t="s">
        <v>964</v>
      </c>
      <c r="E244" s="65" t="s">
        <v>248</v>
      </c>
      <c r="F244" s="218">
        <f>F243</f>
        <v>6</v>
      </c>
      <c r="G244" s="68">
        <f>G230</f>
        <v>30.59</v>
      </c>
      <c r="H244" s="157">
        <f>G244*F244</f>
        <v>183.54</v>
      </c>
      <c r="J244" s="8" t="s">
        <v>975</v>
      </c>
    </row>
    <row r="245" spans="2:10" x14ac:dyDescent="0.2">
      <c r="B245" s="547" t="s">
        <v>763</v>
      </c>
      <c r="C245" s="547"/>
      <c r="D245" s="547"/>
      <c r="E245" s="217"/>
      <c r="F245" s="543" t="s">
        <v>1077</v>
      </c>
      <c r="G245" s="543"/>
      <c r="H245" s="216">
        <f>SUM(H242:H244)</f>
        <v>1068.94</v>
      </c>
      <c r="J245" s="8" t="s">
        <v>975</v>
      </c>
    </row>
    <row r="246" spans="2:10" x14ac:dyDescent="0.2">
      <c r="B246" s="142"/>
      <c r="C246" s="142"/>
      <c r="D246" s="142"/>
      <c r="E246" s="142"/>
      <c r="F246" s="142"/>
      <c r="G246" s="142"/>
      <c r="H246" s="142"/>
      <c r="J246" s="8" t="s">
        <v>975</v>
      </c>
    </row>
    <row r="247" spans="2:10" ht="27" customHeight="1" x14ac:dyDescent="0.2">
      <c r="B247" s="523" t="s">
        <v>770</v>
      </c>
      <c r="C247" s="540" t="s">
        <v>784</v>
      </c>
      <c r="D247" s="523"/>
      <c r="E247" s="523"/>
      <c r="F247" s="523"/>
      <c r="G247" s="523"/>
      <c r="H247" s="96" t="s">
        <v>251</v>
      </c>
      <c r="J247" s="8" t="s">
        <v>975</v>
      </c>
    </row>
    <row r="248" spans="2:10" ht="15" customHeight="1" x14ac:dyDescent="0.2">
      <c r="B248" s="523"/>
      <c r="C248" s="56" t="s">
        <v>233</v>
      </c>
      <c r="D248" s="57" t="s">
        <v>234</v>
      </c>
      <c r="E248" s="57" t="s">
        <v>47</v>
      </c>
      <c r="F248" s="57" t="s">
        <v>37</v>
      </c>
      <c r="G248" s="58" t="s">
        <v>48</v>
      </c>
      <c r="H248" s="58" t="s">
        <v>235</v>
      </c>
      <c r="J248" s="8" t="s">
        <v>975</v>
      </c>
    </row>
    <row r="249" spans="2:10" ht="38.25" x14ac:dyDescent="0.2">
      <c r="B249" s="65" t="s">
        <v>49</v>
      </c>
      <c r="C249" s="65">
        <v>36888</v>
      </c>
      <c r="D249" s="66" t="s">
        <v>964</v>
      </c>
      <c r="E249" s="65" t="s">
        <v>248</v>
      </c>
      <c r="F249" s="144">
        <v>4</v>
      </c>
      <c r="G249" s="143">
        <f>G244</f>
        <v>30.59</v>
      </c>
      <c r="H249" s="157">
        <f>G249*F249</f>
        <v>122.36</v>
      </c>
      <c r="J249" s="8" t="s">
        <v>975</v>
      </c>
    </row>
    <row r="250" spans="2:10" ht="25.5" x14ac:dyDescent="0.2">
      <c r="B250" s="85" t="s">
        <v>49</v>
      </c>
      <c r="C250" s="85">
        <v>7170</v>
      </c>
      <c r="D250" s="25" t="s">
        <v>783</v>
      </c>
      <c r="E250" s="85" t="s">
        <v>251</v>
      </c>
      <c r="F250" s="145">
        <v>1.05</v>
      </c>
      <c r="G250" s="88">
        <v>3.06</v>
      </c>
      <c r="H250" s="157">
        <f t="shared" ref="H250:H252" si="34">G250*F250</f>
        <v>3.21</v>
      </c>
      <c r="J250" s="8" t="s">
        <v>975</v>
      </c>
    </row>
    <row r="251" spans="2:10" x14ac:dyDescent="0.2">
      <c r="B251" s="85" t="s">
        <v>50</v>
      </c>
      <c r="C251" s="85">
        <v>88309</v>
      </c>
      <c r="D251" s="86" t="s">
        <v>281</v>
      </c>
      <c r="E251" s="85" t="s">
        <v>54</v>
      </c>
      <c r="F251" s="145">
        <v>0.8</v>
      </c>
      <c r="G251" s="88">
        <f>G238</f>
        <v>21.83</v>
      </c>
      <c r="H251" s="157">
        <f t="shared" si="34"/>
        <v>17.46</v>
      </c>
      <c r="J251" s="8" t="s">
        <v>975</v>
      </c>
    </row>
    <row r="252" spans="2:10" x14ac:dyDescent="0.2">
      <c r="B252" s="85" t="s">
        <v>50</v>
      </c>
      <c r="C252" s="85">
        <v>88316</v>
      </c>
      <c r="D252" s="86" t="s">
        <v>255</v>
      </c>
      <c r="E252" s="85" t="s">
        <v>54</v>
      </c>
      <c r="F252" s="145">
        <v>0.8</v>
      </c>
      <c r="G252" s="88">
        <f>G239</f>
        <v>17.420000000000002</v>
      </c>
      <c r="H252" s="157">
        <f t="shared" si="34"/>
        <v>13.94</v>
      </c>
      <c r="J252" s="8" t="s">
        <v>975</v>
      </c>
    </row>
    <row r="253" spans="2:10" x14ac:dyDescent="0.2">
      <c r="B253" s="545"/>
      <c r="C253" s="545"/>
      <c r="D253" s="545"/>
      <c r="E253" s="156"/>
      <c r="F253" s="546" t="s">
        <v>395</v>
      </c>
      <c r="G253" s="546"/>
      <c r="H253" s="222">
        <f>SUM(H249:H252)</f>
        <v>156.97</v>
      </c>
      <c r="J253" s="8" t="s">
        <v>975</v>
      </c>
    </row>
    <row r="254" spans="2:10" ht="27" customHeight="1" x14ac:dyDescent="0.2">
      <c r="B254" s="540" t="s">
        <v>788</v>
      </c>
      <c r="C254" s="540"/>
      <c r="D254" s="540"/>
      <c r="E254" s="540"/>
      <c r="F254" s="540"/>
      <c r="G254" s="540"/>
      <c r="H254" s="96" t="s">
        <v>309</v>
      </c>
      <c r="J254" s="8" t="s">
        <v>975</v>
      </c>
    </row>
    <row r="255" spans="2:10" ht="25.5" x14ac:dyDescent="0.2">
      <c r="B255" s="59" t="s">
        <v>50</v>
      </c>
      <c r="C255" s="59" t="str">
        <f>B247</f>
        <v>PMA ESQ 020</v>
      </c>
      <c r="D255" s="158" t="str">
        <f>B254</f>
        <v xml:space="preserve">TELA DE NYLON TIPO MOSQUITEIRA PARA CONTROLE DE PRAGAS 100 X 80 CM, COR BRANCA, MOLDURA EM PERFIL DE ALUMÍNIO </v>
      </c>
      <c r="E255" s="59" t="s">
        <v>251</v>
      </c>
      <c r="F255" s="61">
        <f>1*0.8</f>
        <v>0.8</v>
      </c>
      <c r="G255" s="62">
        <f>H253</f>
        <v>156.97</v>
      </c>
      <c r="H255" s="157">
        <f>G255*F255</f>
        <v>125.58</v>
      </c>
      <c r="J255" s="8" t="s">
        <v>975</v>
      </c>
    </row>
    <row r="256" spans="2:10" ht="14.45" customHeight="1" x14ac:dyDescent="0.2">
      <c r="B256" s="547" t="s">
        <v>787</v>
      </c>
      <c r="C256" s="547"/>
      <c r="D256" s="547"/>
      <c r="E256" s="217"/>
      <c r="F256" s="543" t="s">
        <v>1077</v>
      </c>
      <c r="G256" s="543"/>
      <c r="H256" s="216">
        <f>SUM(H255)</f>
        <v>125.58</v>
      </c>
      <c r="J256" s="8" t="s">
        <v>975</v>
      </c>
    </row>
    <row r="257" spans="2:10" x14ac:dyDescent="0.2">
      <c r="B257" s="142"/>
      <c r="C257" s="142"/>
      <c r="D257" s="142"/>
      <c r="E257" s="142"/>
      <c r="F257" s="142"/>
      <c r="G257" s="142"/>
      <c r="H257" s="142"/>
      <c r="J257" s="8" t="s">
        <v>975</v>
      </c>
    </row>
    <row r="258" spans="2:10" ht="27" customHeight="1" x14ac:dyDescent="0.2">
      <c r="B258" s="523" t="s">
        <v>785</v>
      </c>
      <c r="C258" s="540" t="s">
        <v>784</v>
      </c>
      <c r="D258" s="523"/>
      <c r="E258" s="523"/>
      <c r="F258" s="523"/>
      <c r="G258" s="523"/>
      <c r="H258" s="96" t="s">
        <v>251</v>
      </c>
      <c r="J258" s="8" t="s">
        <v>975</v>
      </c>
    </row>
    <row r="259" spans="2:10" ht="15" customHeight="1" x14ac:dyDescent="0.2">
      <c r="B259" s="523"/>
      <c r="C259" s="56" t="s">
        <v>233</v>
      </c>
      <c r="D259" s="57" t="s">
        <v>234</v>
      </c>
      <c r="E259" s="57" t="s">
        <v>47</v>
      </c>
      <c r="F259" s="57" t="s">
        <v>37</v>
      </c>
      <c r="G259" s="58" t="s">
        <v>48</v>
      </c>
      <c r="H259" s="58" t="s">
        <v>235</v>
      </c>
      <c r="J259" s="8" t="s">
        <v>975</v>
      </c>
    </row>
    <row r="260" spans="2:10" ht="38.25" x14ac:dyDescent="0.2">
      <c r="B260" s="65" t="s">
        <v>49</v>
      </c>
      <c r="C260" s="65">
        <v>36888</v>
      </c>
      <c r="D260" s="66" t="s">
        <v>964</v>
      </c>
      <c r="E260" s="65" t="s">
        <v>248</v>
      </c>
      <c r="F260" s="144">
        <v>4</v>
      </c>
      <c r="G260" s="143">
        <f>G249</f>
        <v>30.59</v>
      </c>
      <c r="H260" s="157">
        <f>G260*F260</f>
        <v>122.36</v>
      </c>
      <c r="J260" s="8" t="s">
        <v>975</v>
      </c>
    </row>
    <row r="261" spans="2:10" ht="25.5" x14ac:dyDescent="0.2">
      <c r="B261" s="85" t="s">
        <v>49</v>
      </c>
      <c r="C261" s="85">
        <v>7170</v>
      </c>
      <c r="D261" s="25" t="s">
        <v>783</v>
      </c>
      <c r="E261" s="85" t="s">
        <v>251</v>
      </c>
      <c r="F261" s="145">
        <v>1.05</v>
      </c>
      <c r="G261" s="143">
        <f t="shared" ref="G261:G263" si="35">G250</f>
        <v>3.06</v>
      </c>
      <c r="H261" s="157">
        <f t="shared" ref="H261:H263" si="36">G261*F261</f>
        <v>3.21</v>
      </c>
      <c r="J261" s="8" t="s">
        <v>975</v>
      </c>
    </row>
    <row r="262" spans="2:10" x14ac:dyDescent="0.2">
      <c r="B262" s="85" t="s">
        <v>50</v>
      </c>
      <c r="C262" s="85">
        <v>88309</v>
      </c>
      <c r="D262" s="86" t="s">
        <v>281</v>
      </c>
      <c r="E262" s="85" t="s">
        <v>54</v>
      </c>
      <c r="F262" s="145">
        <v>0.8</v>
      </c>
      <c r="G262" s="143">
        <f t="shared" si="35"/>
        <v>21.83</v>
      </c>
      <c r="H262" s="157">
        <f t="shared" si="36"/>
        <v>17.46</v>
      </c>
      <c r="J262" s="8" t="s">
        <v>975</v>
      </c>
    </row>
    <row r="263" spans="2:10" x14ac:dyDescent="0.2">
      <c r="B263" s="85" t="s">
        <v>50</v>
      </c>
      <c r="C263" s="85">
        <v>88316</v>
      </c>
      <c r="D263" s="86" t="s">
        <v>255</v>
      </c>
      <c r="E263" s="85" t="s">
        <v>54</v>
      </c>
      <c r="F263" s="145">
        <v>0.8</v>
      </c>
      <c r="G263" s="143">
        <f t="shared" si="35"/>
        <v>17.420000000000002</v>
      </c>
      <c r="H263" s="157">
        <f t="shared" si="36"/>
        <v>13.94</v>
      </c>
      <c r="J263" s="8" t="s">
        <v>975</v>
      </c>
    </row>
    <row r="264" spans="2:10" ht="13.15" customHeight="1" x14ac:dyDescent="0.2">
      <c r="B264" s="545"/>
      <c r="C264" s="545"/>
      <c r="D264" s="545"/>
      <c r="E264" s="156"/>
      <c r="F264" s="546" t="s">
        <v>395</v>
      </c>
      <c r="G264" s="546"/>
      <c r="H264" s="222">
        <f>SUM(H260:H263)</f>
        <v>156.97</v>
      </c>
      <c r="J264" s="8" t="s">
        <v>975</v>
      </c>
    </row>
    <row r="265" spans="2:10" ht="27" customHeight="1" x14ac:dyDescent="0.2">
      <c r="B265" s="540" t="s">
        <v>789</v>
      </c>
      <c r="C265" s="540"/>
      <c r="D265" s="540"/>
      <c r="E265" s="540"/>
      <c r="F265" s="540"/>
      <c r="G265" s="540"/>
      <c r="H265" s="96" t="s">
        <v>309</v>
      </c>
      <c r="J265" s="8" t="s">
        <v>975</v>
      </c>
    </row>
    <row r="266" spans="2:10" ht="25.5" x14ac:dyDescent="0.2">
      <c r="B266" s="59" t="s">
        <v>50</v>
      </c>
      <c r="C266" s="59" t="str">
        <f>B258</f>
        <v>PMA ESQ 021</v>
      </c>
      <c r="D266" s="158" t="str">
        <f>B265</f>
        <v xml:space="preserve">TELA DE NYLON TIPO MOSQUITEIRA PARA CONTROLE DE PRAGAS 100 X 100 CM, COR BRANCA, MOLDURA EM PERFIL DE ALUMÍNIO </v>
      </c>
      <c r="E266" s="59" t="s">
        <v>251</v>
      </c>
      <c r="F266" s="61">
        <f>1*1</f>
        <v>1</v>
      </c>
      <c r="G266" s="62">
        <f>H264</f>
        <v>156.97</v>
      </c>
      <c r="H266" s="157">
        <f>G266*F266</f>
        <v>156.97</v>
      </c>
      <c r="J266" s="8" t="s">
        <v>975</v>
      </c>
    </row>
    <row r="267" spans="2:10" ht="13.15" customHeight="1" x14ac:dyDescent="0.2">
      <c r="B267" s="547" t="s">
        <v>787</v>
      </c>
      <c r="C267" s="547"/>
      <c r="D267" s="547"/>
      <c r="E267" s="217"/>
      <c r="F267" s="543" t="s">
        <v>1077</v>
      </c>
      <c r="G267" s="543"/>
      <c r="H267" s="216">
        <f>SUM(H266)</f>
        <v>156.97</v>
      </c>
      <c r="J267" s="8" t="s">
        <v>975</v>
      </c>
    </row>
    <row r="268" spans="2:10" x14ac:dyDescent="0.2">
      <c r="B268" s="142"/>
      <c r="C268" s="142"/>
      <c r="D268" s="142"/>
      <c r="E268" s="142"/>
      <c r="F268" s="142"/>
      <c r="G268" s="142"/>
      <c r="H268" s="142"/>
      <c r="J268" s="8" t="s">
        <v>975</v>
      </c>
    </row>
    <row r="269" spans="2:10" ht="27" customHeight="1" x14ac:dyDescent="0.2">
      <c r="B269" s="523" t="s">
        <v>790</v>
      </c>
      <c r="C269" s="540" t="s">
        <v>784</v>
      </c>
      <c r="D269" s="523"/>
      <c r="E269" s="523"/>
      <c r="F269" s="523"/>
      <c r="G269" s="523"/>
      <c r="H269" s="96" t="s">
        <v>251</v>
      </c>
      <c r="J269" s="8" t="s">
        <v>975</v>
      </c>
    </row>
    <row r="270" spans="2:10" ht="15" customHeight="1" x14ac:dyDescent="0.2">
      <c r="B270" s="523"/>
      <c r="C270" s="56" t="s">
        <v>233</v>
      </c>
      <c r="D270" s="57" t="s">
        <v>234</v>
      </c>
      <c r="E270" s="57" t="s">
        <v>47</v>
      </c>
      <c r="F270" s="57" t="s">
        <v>37</v>
      </c>
      <c r="G270" s="58" t="s">
        <v>48</v>
      </c>
      <c r="H270" s="58" t="s">
        <v>235</v>
      </c>
      <c r="J270" s="8" t="s">
        <v>975</v>
      </c>
    </row>
    <row r="271" spans="2:10" ht="38.25" x14ac:dyDescent="0.2">
      <c r="B271" s="85" t="s">
        <v>49</v>
      </c>
      <c r="C271" s="65">
        <v>36888</v>
      </c>
      <c r="D271" s="66" t="s">
        <v>964</v>
      </c>
      <c r="E271" s="65" t="s">
        <v>248</v>
      </c>
      <c r="F271" s="144">
        <v>4</v>
      </c>
      <c r="G271" s="143">
        <f>G260</f>
        <v>30.59</v>
      </c>
      <c r="H271" s="157">
        <f>G271*F271</f>
        <v>122.36</v>
      </c>
      <c r="J271" s="8" t="s">
        <v>975</v>
      </c>
    </row>
    <row r="272" spans="2:10" ht="25.5" x14ac:dyDescent="0.2">
      <c r="B272" s="85" t="s">
        <v>49</v>
      </c>
      <c r="C272" s="85">
        <v>7170</v>
      </c>
      <c r="D272" s="25" t="s">
        <v>783</v>
      </c>
      <c r="E272" s="85" t="s">
        <v>251</v>
      </c>
      <c r="F272" s="145">
        <v>1.05</v>
      </c>
      <c r="G272" s="143">
        <f t="shared" ref="G272" si="37">G261</f>
        <v>3.06</v>
      </c>
      <c r="H272" s="157">
        <f t="shared" ref="H272" si="38">G272*F272</f>
        <v>3.21</v>
      </c>
      <c r="J272" s="8" t="s">
        <v>975</v>
      </c>
    </row>
    <row r="273" spans="2:10" x14ac:dyDescent="0.2">
      <c r="B273" s="85" t="s">
        <v>50</v>
      </c>
      <c r="C273" s="85">
        <v>88261</v>
      </c>
      <c r="D273" s="86" t="s">
        <v>786</v>
      </c>
      <c r="E273" s="85" t="s">
        <v>54</v>
      </c>
      <c r="F273" s="145">
        <v>0.8</v>
      </c>
      <c r="G273" s="88">
        <v>20.56</v>
      </c>
      <c r="H273" s="157">
        <f t="shared" ref="H273:H274" si="39">G273*F273</f>
        <v>16.45</v>
      </c>
      <c r="J273" s="8" t="s">
        <v>975</v>
      </c>
    </row>
    <row r="274" spans="2:10" x14ac:dyDescent="0.2">
      <c r="B274" s="85" t="s">
        <v>50</v>
      </c>
      <c r="C274" s="85">
        <v>88239</v>
      </c>
      <c r="D274" s="86" t="s">
        <v>665</v>
      </c>
      <c r="E274" s="85" t="s">
        <v>54</v>
      </c>
      <c r="F274" s="145">
        <v>0.8</v>
      </c>
      <c r="G274" s="88">
        <v>18.309999999999999</v>
      </c>
      <c r="H274" s="157">
        <f t="shared" si="39"/>
        <v>14.65</v>
      </c>
      <c r="J274" s="8" t="s">
        <v>975</v>
      </c>
    </row>
    <row r="275" spans="2:10" x14ac:dyDescent="0.2">
      <c r="B275" s="545"/>
      <c r="C275" s="545"/>
      <c r="D275" s="545"/>
      <c r="E275" s="156"/>
      <c r="F275" s="546" t="s">
        <v>395</v>
      </c>
      <c r="G275" s="546"/>
      <c r="H275" s="222">
        <f>SUM(H271:H274)</f>
        <v>156.66999999999999</v>
      </c>
      <c r="J275" s="8" t="s">
        <v>975</v>
      </c>
    </row>
    <row r="276" spans="2:10" ht="27" customHeight="1" x14ac:dyDescent="0.2">
      <c r="B276" s="540" t="s">
        <v>791</v>
      </c>
      <c r="C276" s="540"/>
      <c r="D276" s="540"/>
      <c r="E276" s="540"/>
      <c r="F276" s="540"/>
      <c r="G276" s="540"/>
      <c r="H276" s="96" t="s">
        <v>309</v>
      </c>
      <c r="J276" s="8" t="s">
        <v>975</v>
      </c>
    </row>
    <row r="277" spans="2:10" ht="25.5" x14ac:dyDescent="0.2">
      <c r="B277" s="59" t="s">
        <v>50</v>
      </c>
      <c r="C277" s="59" t="str">
        <f>B269</f>
        <v>PMA ESQ 022</v>
      </c>
      <c r="D277" s="158" t="str">
        <f>B276</f>
        <v xml:space="preserve">TELA DE NYLON TIPO MOSQUITEIRA PARA CONTROLE DE PRAGAS 100 X 120 CM, COR BRANCA, MOLDURA EM PERFIL DE ALUMÍNIO </v>
      </c>
      <c r="E277" s="59" t="s">
        <v>251</v>
      </c>
      <c r="F277" s="61">
        <f>1*1.2</f>
        <v>1.2</v>
      </c>
      <c r="G277" s="62">
        <f>H275</f>
        <v>156.66999999999999</v>
      </c>
      <c r="H277" s="157">
        <f>G277*F277</f>
        <v>188</v>
      </c>
      <c r="J277" s="8" t="s">
        <v>975</v>
      </c>
    </row>
    <row r="278" spans="2:10" ht="13.15" customHeight="1" x14ac:dyDescent="0.2">
      <c r="B278" s="547" t="s">
        <v>787</v>
      </c>
      <c r="C278" s="547"/>
      <c r="D278" s="547"/>
      <c r="E278" s="217"/>
      <c r="F278" s="543" t="s">
        <v>1077</v>
      </c>
      <c r="G278" s="543"/>
      <c r="H278" s="216">
        <f>SUM(H277)</f>
        <v>188</v>
      </c>
      <c r="J278" s="8" t="s">
        <v>975</v>
      </c>
    </row>
    <row r="279" spans="2:10" x14ac:dyDescent="0.2">
      <c r="B279" s="142"/>
      <c r="C279" s="142"/>
      <c r="D279" s="142"/>
      <c r="E279" s="142"/>
      <c r="F279" s="142"/>
      <c r="G279" s="142"/>
      <c r="H279" s="142"/>
      <c r="J279" s="8" t="s">
        <v>975</v>
      </c>
    </row>
    <row r="280" spans="2:10" ht="27" customHeight="1" x14ac:dyDescent="0.2">
      <c r="B280" s="523" t="s">
        <v>792</v>
      </c>
      <c r="C280" s="540" t="s">
        <v>784</v>
      </c>
      <c r="D280" s="523"/>
      <c r="E280" s="523"/>
      <c r="F280" s="523"/>
      <c r="G280" s="523"/>
      <c r="H280" s="96" t="s">
        <v>251</v>
      </c>
      <c r="J280" s="8" t="s">
        <v>975</v>
      </c>
    </row>
    <row r="281" spans="2:10" ht="15" customHeight="1" x14ac:dyDescent="0.2">
      <c r="B281" s="523"/>
      <c r="C281" s="56" t="s">
        <v>233</v>
      </c>
      <c r="D281" s="57" t="s">
        <v>234</v>
      </c>
      <c r="E281" s="57" t="s">
        <v>47</v>
      </c>
      <c r="F281" s="57" t="s">
        <v>37</v>
      </c>
      <c r="G281" s="58" t="s">
        <v>48</v>
      </c>
      <c r="H281" s="58" t="s">
        <v>235</v>
      </c>
      <c r="J281" s="8" t="s">
        <v>975</v>
      </c>
    </row>
    <row r="282" spans="2:10" ht="38.25" x14ac:dyDescent="0.2">
      <c r="B282" s="85" t="s">
        <v>49</v>
      </c>
      <c r="C282" s="65">
        <v>36888</v>
      </c>
      <c r="D282" s="66" t="s">
        <v>964</v>
      </c>
      <c r="E282" s="65" t="s">
        <v>248</v>
      </c>
      <c r="F282" s="144">
        <v>4</v>
      </c>
      <c r="G282" s="143">
        <f>G271</f>
        <v>30.59</v>
      </c>
      <c r="H282" s="157">
        <f>G282*F282</f>
        <v>122.36</v>
      </c>
      <c r="J282" s="8" t="s">
        <v>975</v>
      </c>
    </row>
    <row r="283" spans="2:10" ht="25.5" x14ac:dyDescent="0.2">
      <c r="B283" s="85" t="s">
        <v>49</v>
      </c>
      <c r="C283" s="85">
        <v>7170</v>
      </c>
      <c r="D283" s="25" t="s">
        <v>783</v>
      </c>
      <c r="E283" s="85" t="s">
        <v>251</v>
      </c>
      <c r="F283" s="145">
        <v>1.05</v>
      </c>
      <c r="G283" s="143">
        <f t="shared" ref="G283:G285" si="40">G272</f>
        <v>3.06</v>
      </c>
      <c r="H283" s="157">
        <f t="shared" ref="H283" si="41">G283*F283</f>
        <v>3.21</v>
      </c>
      <c r="J283" s="8" t="s">
        <v>975</v>
      </c>
    </row>
    <row r="284" spans="2:10" x14ac:dyDescent="0.2">
      <c r="B284" s="85" t="s">
        <v>50</v>
      </c>
      <c r="C284" s="85">
        <v>88261</v>
      </c>
      <c r="D284" s="86" t="s">
        <v>786</v>
      </c>
      <c r="E284" s="85" t="s">
        <v>54</v>
      </c>
      <c r="F284" s="145">
        <v>0.8</v>
      </c>
      <c r="G284" s="143">
        <f t="shared" si="40"/>
        <v>20.56</v>
      </c>
      <c r="H284" s="157">
        <f t="shared" ref="H284:H285" si="42">G284*F284</f>
        <v>16.45</v>
      </c>
      <c r="J284" s="8" t="s">
        <v>975</v>
      </c>
    </row>
    <row r="285" spans="2:10" x14ac:dyDescent="0.2">
      <c r="B285" s="85" t="s">
        <v>50</v>
      </c>
      <c r="C285" s="85">
        <v>88239</v>
      </c>
      <c r="D285" s="86" t="s">
        <v>665</v>
      </c>
      <c r="E285" s="85" t="s">
        <v>54</v>
      </c>
      <c r="F285" s="145">
        <v>0.8</v>
      </c>
      <c r="G285" s="143">
        <f t="shared" si="40"/>
        <v>18.309999999999999</v>
      </c>
      <c r="H285" s="157">
        <f t="shared" si="42"/>
        <v>14.65</v>
      </c>
      <c r="J285" s="8" t="s">
        <v>975</v>
      </c>
    </row>
    <row r="286" spans="2:10" x14ac:dyDescent="0.2">
      <c r="B286" s="545"/>
      <c r="C286" s="545"/>
      <c r="D286" s="545"/>
      <c r="E286" s="156"/>
      <c r="F286" s="546" t="s">
        <v>395</v>
      </c>
      <c r="G286" s="546"/>
      <c r="H286" s="222">
        <f>SUM(H282:H285)</f>
        <v>156.66999999999999</v>
      </c>
      <c r="J286" s="8" t="s">
        <v>975</v>
      </c>
    </row>
    <row r="287" spans="2:10" ht="27" customHeight="1" x14ac:dyDescent="0.2">
      <c r="B287" s="540" t="s">
        <v>793</v>
      </c>
      <c r="C287" s="540"/>
      <c r="D287" s="540"/>
      <c r="E287" s="540"/>
      <c r="F287" s="540"/>
      <c r="G287" s="540"/>
      <c r="H287" s="96" t="s">
        <v>309</v>
      </c>
      <c r="J287" s="8" t="s">
        <v>975</v>
      </c>
    </row>
    <row r="288" spans="2:10" ht="25.5" x14ac:dyDescent="0.2">
      <c r="B288" s="59" t="s">
        <v>50</v>
      </c>
      <c r="C288" s="59" t="str">
        <f>B280</f>
        <v>PMA ESQ 023</v>
      </c>
      <c r="D288" s="158" t="str">
        <f>B287</f>
        <v xml:space="preserve">TELA DE NYLON TIPO MOSQUITEIRA PARA CONTROLE DE PRAGAS 100 X 150 CM, COR BRANCA, MOLDURA EM PERFIL DE ALUMÍNIO </v>
      </c>
      <c r="E288" s="59" t="s">
        <v>251</v>
      </c>
      <c r="F288" s="61">
        <f>1*1.5</f>
        <v>1.5</v>
      </c>
      <c r="G288" s="62">
        <f>H286</f>
        <v>156.66999999999999</v>
      </c>
      <c r="H288" s="157">
        <f>G288*F288</f>
        <v>235.01</v>
      </c>
      <c r="J288" s="8" t="s">
        <v>975</v>
      </c>
    </row>
    <row r="289" spans="2:10" ht="13.15" customHeight="1" x14ac:dyDescent="0.2">
      <c r="B289" s="547" t="s">
        <v>787</v>
      </c>
      <c r="C289" s="547"/>
      <c r="D289" s="547"/>
      <c r="E289" s="217"/>
      <c r="F289" s="543" t="s">
        <v>1077</v>
      </c>
      <c r="G289" s="543"/>
      <c r="H289" s="216">
        <f>SUM(H288)</f>
        <v>235.01</v>
      </c>
      <c r="J289" s="8" t="s">
        <v>975</v>
      </c>
    </row>
    <row r="290" spans="2:10" x14ac:dyDescent="0.2">
      <c r="B290" s="142"/>
      <c r="C290" s="142"/>
      <c r="D290" s="142"/>
      <c r="E290" s="142"/>
      <c r="F290" s="142"/>
      <c r="G290" s="142"/>
      <c r="H290" s="142"/>
      <c r="J290" s="8" t="s">
        <v>975</v>
      </c>
    </row>
    <row r="291" spans="2:10" ht="27" customHeight="1" x14ac:dyDescent="0.2">
      <c r="B291" s="523" t="s">
        <v>794</v>
      </c>
      <c r="C291" s="540" t="s">
        <v>784</v>
      </c>
      <c r="D291" s="523"/>
      <c r="E291" s="523"/>
      <c r="F291" s="523"/>
      <c r="G291" s="523"/>
      <c r="H291" s="96" t="s">
        <v>251</v>
      </c>
      <c r="J291" s="8" t="s">
        <v>975</v>
      </c>
    </row>
    <row r="292" spans="2:10" ht="15" customHeight="1" x14ac:dyDescent="0.2">
      <c r="B292" s="523"/>
      <c r="C292" s="56" t="s">
        <v>233</v>
      </c>
      <c r="D292" s="57" t="s">
        <v>234</v>
      </c>
      <c r="E292" s="57" t="s">
        <v>47</v>
      </c>
      <c r="F292" s="57" t="s">
        <v>37</v>
      </c>
      <c r="G292" s="58" t="s">
        <v>48</v>
      </c>
      <c r="H292" s="58" t="s">
        <v>235</v>
      </c>
      <c r="J292" s="8" t="s">
        <v>975</v>
      </c>
    </row>
    <row r="293" spans="2:10" ht="38.25" x14ac:dyDescent="0.2">
      <c r="B293" s="85" t="s">
        <v>49</v>
      </c>
      <c r="C293" s="65">
        <v>36888</v>
      </c>
      <c r="D293" s="66" t="s">
        <v>964</v>
      </c>
      <c r="E293" s="65" t="s">
        <v>248</v>
      </c>
      <c r="F293" s="144">
        <v>4</v>
      </c>
      <c r="G293" s="143">
        <f>G282</f>
        <v>30.59</v>
      </c>
      <c r="H293" s="157">
        <f>G293*F293</f>
        <v>122.36</v>
      </c>
      <c r="J293" s="8" t="s">
        <v>975</v>
      </c>
    </row>
    <row r="294" spans="2:10" ht="25.5" x14ac:dyDescent="0.2">
      <c r="B294" s="85" t="s">
        <v>49</v>
      </c>
      <c r="C294" s="85">
        <v>7170</v>
      </c>
      <c r="D294" s="25" t="s">
        <v>783</v>
      </c>
      <c r="E294" s="85" t="s">
        <v>251</v>
      </c>
      <c r="F294" s="145">
        <v>1.05</v>
      </c>
      <c r="G294" s="143">
        <f t="shared" ref="G294:G296" si="43">G283</f>
        <v>3.06</v>
      </c>
      <c r="H294" s="157">
        <f t="shared" ref="H294" si="44">G294*F294</f>
        <v>3.21</v>
      </c>
      <c r="J294" s="8" t="s">
        <v>975</v>
      </c>
    </row>
    <row r="295" spans="2:10" x14ac:dyDescent="0.2">
      <c r="B295" s="85" t="s">
        <v>50</v>
      </c>
      <c r="C295" s="85">
        <v>88261</v>
      </c>
      <c r="D295" s="86" t="s">
        <v>786</v>
      </c>
      <c r="E295" s="85" t="s">
        <v>54</v>
      </c>
      <c r="F295" s="145">
        <v>0.8</v>
      </c>
      <c r="G295" s="143">
        <f t="shared" si="43"/>
        <v>20.56</v>
      </c>
      <c r="H295" s="157">
        <f t="shared" ref="H295:H296" si="45">G295*F295</f>
        <v>16.45</v>
      </c>
      <c r="J295" s="8" t="s">
        <v>975</v>
      </c>
    </row>
    <row r="296" spans="2:10" x14ac:dyDescent="0.2">
      <c r="B296" s="85" t="s">
        <v>50</v>
      </c>
      <c r="C296" s="85">
        <v>88239</v>
      </c>
      <c r="D296" s="86" t="s">
        <v>665</v>
      </c>
      <c r="E296" s="85" t="s">
        <v>54</v>
      </c>
      <c r="F296" s="145">
        <v>0.8</v>
      </c>
      <c r="G296" s="143">
        <f t="shared" si="43"/>
        <v>18.309999999999999</v>
      </c>
      <c r="H296" s="157">
        <f t="shared" si="45"/>
        <v>14.65</v>
      </c>
      <c r="J296" s="8" t="s">
        <v>975</v>
      </c>
    </row>
    <row r="297" spans="2:10" x14ac:dyDescent="0.2">
      <c r="B297" s="545"/>
      <c r="C297" s="545"/>
      <c r="D297" s="545"/>
      <c r="E297" s="156"/>
      <c r="F297" s="546" t="s">
        <v>395</v>
      </c>
      <c r="G297" s="546"/>
      <c r="H297" s="222">
        <f>SUM(H293:H296)</f>
        <v>156.66999999999999</v>
      </c>
      <c r="J297" s="8" t="s">
        <v>975</v>
      </c>
    </row>
    <row r="298" spans="2:10" ht="27" customHeight="1" x14ac:dyDescent="0.2">
      <c r="B298" s="540" t="s">
        <v>795</v>
      </c>
      <c r="C298" s="540"/>
      <c r="D298" s="540"/>
      <c r="E298" s="540"/>
      <c r="F298" s="540"/>
      <c r="G298" s="540"/>
      <c r="H298" s="96" t="s">
        <v>309</v>
      </c>
      <c r="J298" s="8" t="s">
        <v>975</v>
      </c>
    </row>
    <row r="299" spans="2:10" ht="25.5" x14ac:dyDescent="0.2">
      <c r="B299" s="59" t="s">
        <v>50</v>
      </c>
      <c r="C299" s="59" t="str">
        <f>B291</f>
        <v>PMA ESQ 024</v>
      </c>
      <c r="D299" s="158" t="str">
        <f>B298</f>
        <v xml:space="preserve">TELA DE NYLON TIPO MOSQUITEIRA PARA CONTROLE DE PRAGAS 100 X 200 CM, COR BRANCA, MOLDURA EM PERFIL DE ALUMÍNIO </v>
      </c>
      <c r="E299" s="59" t="s">
        <v>251</v>
      </c>
      <c r="F299" s="61">
        <f>1*2</f>
        <v>2</v>
      </c>
      <c r="G299" s="62">
        <f>H297</f>
        <v>156.66999999999999</v>
      </c>
      <c r="H299" s="157">
        <f>G299*F299</f>
        <v>313.33999999999997</v>
      </c>
      <c r="J299" s="8" t="s">
        <v>975</v>
      </c>
    </row>
    <row r="300" spans="2:10" ht="13.9" customHeight="1" x14ac:dyDescent="0.2">
      <c r="B300" s="547" t="s">
        <v>787</v>
      </c>
      <c r="C300" s="547"/>
      <c r="D300" s="547"/>
      <c r="E300" s="217"/>
      <c r="F300" s="543" t="s">
        <v>1077</v>
      </c>
      <c r="G300" s="543"/>
      <c r="H300" s="216">
        <f>SUM(H299)</f>
        <v>313.33999999999997</v>
      </c>
      <c r="J300" s="8" t="s">
        <v>975</v>
      </c>
    </row>
    <row r="302" spans="2:10" x14ac:dyDescent="0.2">
      <c r="H302" s="221" t="str">
        <f>'PLANILHA ORÇAMENTÁRIA'!I461</f>
        <v>ARIPUANÃ - MT, 04 de Abril de 2023.</v>
      </c>
    </row>
    <row r="304" spans="2:10" ht="90" customHeight="1" x14ac:dyDescent="0.2">
      <c r="B304" s="396" t="str">
        <f>'PLANILHA ORÇAMENTÁRIA'!B463</f>
        <v xml:space="preserve">
FLÁVIA MARIA COSTA
ENG. CIVIL - CREA/MT 031403</v>
      </c>
      <c r="C304" s="396"/>
      <c r="D304" s="396"/>
      <c r="E304" s="396"/>
      <c r="F304" s="396"/>
      <c r="G304" s="396"/>
      <c r="H304" s="396"/>
    </row>
  </sheetData>
  <mergeCells count="172">
    <mergeCell ref="B304:H304"/>
    <mergeCell ref="B245:D245"/>
    <mergeCell ref="F245:G245"/>
    <mergeCell ref="B241:G241"/>
    <mergeCell ref="F240:G240"/>
    <mergeCell ref="B240:D240"/>
    <mergeCell ref="F256:G256"/>
    <mergeCell ref="F267:G267"/>
    <mergeCell ref="F278:G278"/>
    <mergeCell ref="F289:G289"/>
    <mergeCell ref="B278:D278"/>
    <mergeCell ref="B247:B248"/>
    <mergeCell ref="C247:G247"/>
    <mergeCell ref="B253:D253"/>
    <mergeCell ref="F253:G253"/>
    <mergeCell ref="B254:G254"/>
    <mergeCell ref="B256:D256"/>
    <mergeCell ref="B258:B259"/>
    <mergeCell ref="C258:G258"/>
    <mergeCell ref="B264:D264"/>
    <mergeCell ref="F264:G264"/>
    <mergeCell ref="B265:G265"/>
    <mergeCell ref="B267:D267"/>
    <mergeCell ref="F226:G226"/>
    <mergeCell ref="B227:G227"/>
    <mergeCell ref="B231:D231"/>
    <mergeCell ref="F231:G231"/>
    <mergeCell ref="B233:B234"/>
    <mergeCell ref="C233:G233"/>
    <mergeCell ref="B298:G298"/>
    <mergeCell ref="B300:D300"/>
    <mergeCell ref="B280:B281"/>
    <mergeCell ref="C280:G280"/>
    <mergeCell ref="B286:D286"/>
    <mergeCell ref="F286:G286"/>
    <mergeCell ref="B287:G287"/>
    <mergeCell ref="B289:D289"/>
    <mergeCell ref="B291:B292"/>
    <mergeCell ref="C291:G291"/>
    <mergeCell ref="B297:D297"/>
    <mergeCell ref="F297:G297"/>
    <mergeCell ref="F300:G300"/>
    <mergeCell ref="B269:B270"/>
    <mergeCell ref="C269:G269"/>
    <mergeCell ref="B275:D275"/>
    <mergeCell ref="F275:G275"/>
    <mergeCell ref="B276:G276"/>
    <mergeCell ref="B190:D190"/>
    <mergeCell ref="B206:B207"/>
    <mergeCell ref="C206:G206"/>
    <mergeCell ref="B192:B193"/>
    <mergeCell ref="C192:G192"/>
    <mergeCell ref="B199:D199"/>
    <mergeCell ref="F199:G199"/>
    <mergeCell ref="B200:G200"/>
    <mergeCell ref="F190:G190"/>
    <mergeCell ref="B204:D204"/>
    <mergeCell ref="F204:G204"/>
    <mergeCell ref="B226:D226"/>
    <mergeCell ref="F18:G18"/>
    <mergeCell ref="B19:G19"/>
    <mergeCell ref="B21:D21"/>
    <mergeCell ref="B8:H8"/>
    <mergeCell ref="B18:D18"/>
    <mergeCell ref="C6:D6"/>
    <mergeCell ref="C7:D7"/>
    <mergeCell ref="F7:H7"/>
    <mergeCell ref="B9:B10"/>
    <mergeCell ref="C9:G9"/>
    <mergeCell ref="F21:G21"/>
    <mergeCell ref="C43:G43"/>
    <mergeCell ref="B51:D51"/>
    <mergeCell ref="B91:B92"/>
    <mergeCell ref="F51:G51"/>
    <mergeCell ref="F61:G61"/>
    <mergeCell ref="F74:G74"/>
    <mergeCell ref="B86:D86"/>
    <mergeCell ref="F86:G86"/>
    <mergeCell ref="B217:D217"/>
    <mergeCell ref="B219:B220"/>
    <mergeCell ref="C219:G219"/>
    <mergeCell ref="B186:G186"/>
    <mergeCell ref="B99:D99"/>
    <mergeCell ref="B178:B179"/>
    <mergeCell ref="C178:G178"/>
    <mergeCell ref="B185:D185"/>
    <mergeCell ref="F185:G185"/>
    <mergeCell ref="B22:H22"/>
    <mergeCell ref="B27:H27"/>
    <mergeCell ref="B32:H32"/>
    <mergeCell ref="B42:H42"/>
    <mergeCell ref="B28:B29"/>
    <mergeCell ref="C28:G28"/>
    <mergeCell ref="B31:D31"/>
    <mergeCell ref="B33:B34"/>
    <mergeCell ref="C33:G33"/>
    <mergeCell ref="B23:B24"/>
    <mergeCell ref="C23:G23"/>
    <mergeCell ref="B26:D26"/>
    <mergeCell ref="F26:G26"/>
    <mergeCell ref="F31:G31"/>
    <mergeCell ref="F41:G41"/>
    <mergeCell ref="B52:H52"/>
    <mergeCell ref="F99:G99"/>
    <mergeCell ref="C91:G91"/>
    <mergeCell ref="B76:B77"/>
    <mergeCell ref="B90:H90"/>
    <mergeCell ref="B53:B54"/>
    <mergeCell ref="C53:G53"/>
    <mergeCell ref="B41:D41"/>
    <mergeCell ref="B43:B44"/>
    <mergeCell ref="B61:D61"/>
    <mergeCell ref="B63:B64"/>
    <mergeCell ref="C63:G63"/>
    <mergeCell ref="B74:D74"/>
    <mergeCell ref="B71:D71"/>
    <mergeCell ref="F71:G71"/>
    <mergeCell ref="B72:G72"/>
    <mergeCell ref="B87:G87"/>
    <mergeCell ref="B89:D89"/>
    <mergeCell ref="F89:G89"/>
    <mergeCell ref="B62:H62"/>
    <mergeCell ref="B75:H75"/>
    <mergeCell ref="C76:G76"/>
    <mergeCell ref="B145:G145"/>
    <mergeCell ref="B147:D147"/>
    <mergeCell ref="F147:G147"/>
    <mergeCell ref="B148:H148"/>
    <mergeCell ref="B134:B135"/>
    <mergeCell ref="C134:G134"/>
    <mergeCell ref="F102:G102"/>
    <mergeCell ref="B114:D114"/>
    <mergeCell ref="F114:G114"/>
    <mergeCell ref="B115:G115"/>
    <mergeCell ref="B117:D117"/>
    <mergeCell ref="F117:G117"/>
    <mergeCell ref="B133:H133"/>
    <mergeCell ref="B144:D144"/>
    <mergeCell ref="F144:G144"/>
    <mergeCell ref="B119:B120"/>
    <mergeCell ref="C119:G119"/>
    <mergeCell ref="B118:H118"/>
    <mergeCell ref="B129:D129"/>
    <mergeCell ref="F129:G129"/>
    <mergeCell ref="B130:G130"/>
    <mergeCell ref="B132:D132"/>
    <mergeCell ref="F132:G132"/>
    <mergeCell ref="B103:H103"/>
    <mergeCell ref="B3:H3"/>
    <mergeCell ref="C4:E4"/>
    <mergeCell ref="F4:H5"/>
    <mergeCell ref="C5:E5"/>
    <mergeCell ref="F176:G176"/>
    <mergeCell ref="B177:H177"/>
    <mergeCell ref="B149:B150"/>
    <mergeCell ref="C149:G149"/>
    <mergeCell ref="B159:D159"/>
    <mergeCell ref="F159:G159"/>
    <mergeCell ref="B160:G160"/>
    <mergeCell ref="B162:D162"/>
    <mergeCell ref="F162:G162"/>
    <mergeCell ref="B163:H163"/>
    <mergeCell ref="B172:G172"/>
    <mergeCell ref="B176:D176"/>
    <mergeCell ref="B164:B165"/>
    <mergeCell ref="C164:G164"/>
    <mergeCell ref="B171:D171"/>
    <mergeCell ref="F171:G171"/>
    <mergeCell ref="B100:G100"/>
    <mergeCell ref="B102:D102"/>
    <mergeCell ref="B104:B105"/>
    <mergeCell ref="C104:G104"/>
  </mergeCells>
  <conditionalFormatting sqref="B11:F14">
    <cfRule type="expression" dxfId="591" priority="413" stopIfTrue="1">
      <formula>AND($A1048545&lt;&gt;"COMPOSICAO",$A1048545&lt;&gt;"INSUMO",$A1048545&lt;&gt;"")</formula>
    </cfRule>
    <cfRule type="expression" dxfId="590" priority="414" stopIfTrue="1">
      <formula>AND(OR($A1048545="COMPOSICAO",$A1048545="INSUMO",$A1048545&lt;&gt;""),$A1048545&lt;&gt;"")</formula>
    </cfRule>
  </conditionalFormatting>
  <conditionalFormatting sqref="C20:F20">
    <cfRule type="expression" dxfId="589" priority="415" stopIfTrue="1">
      <formula>AND(#REF!&lt;&gt;"COMPOSICAO",#REF!&lt;&gt;"INSUMO",#REF!&lt;&gt;"")</formula>
    </cfRule>
    <cfRule type="expression" dxfId="588" priority="416" stopIfTrue="1">
      <formula>AND(OR(#REF!="COMPOSICAO",#REF!="INSUMO",#REF!&lt;&gt;""),#REF!&lt;&gt;"")</formula>
    </cfRule>
  </conditionalFormatting>
  <conditionalFormatting sqref="B25:E25">
    <cfRule type="expression" dxfId="587" priority="401" stopIfTrue="1">
      <formula>AND($A7&lt;&gt;"COMPOSICAO",$A7&lt;&gt;"INSUMO",$A7&lt;&gt;"")</formula>
    </cfRule>
    <cfRule type="expression" dxfId="586" priority="402" stopIfTrue="1">
      <formula>AND(OR($A7="COMPOSICAO",$A7="INSUMO",$A7&lt;&gt;""),$A7&lt;&gt;"")</formula>
    </cfRule>
  </conditionalFormatting>
  <conditionalFormatting sqref="F25">
    <cfRule type="expression" dxfId="585" priority="399" stopIfTrue="1">
      <formula>AND($A10&lt;&gt;"COMPOSICAO",$A10&lt;&gt;"INSUMO",$A10&lt;&gt;"")</formula>
    </cfRule>
    <cfRule type="expression" dxfId="584" priority="400" stopIfTrue="1">
      <formula>AND(OR($A10="COMPOSICAO",$A10="INSUMO",$A10&lt;&gt;""),$A10&lt;&gt;"")</formula>
    </cfRule>
  </conditionalFormatting>
  <conditionalFormatting sqref="B20">
    <cfRule type="expression" dxfId="583" priority="397" stopIfTrue="1">
      <formula>AND($A3&lt;&gt;"COMPOSICAO",$A3&lt;&gt;"INSUMO",$A3&lt;&gt;"")</formula>
    </cfRule>
    <cfRule type="expression" dxfId="582" priority="398" stopIfTrue="1">
      <formula>AND(OR($A3="COMPOSICAO",$A3="INSUMO",$A3&lt;&gt;""),$A3&lt;&gt;"")</formula>
    </cfRule>
  </conditionalFormatting>
  <conditionalFormatting sqref="B30:E30">
    <cfRule type="expression" dxfId="581" priority="395" stopIfTrue="1">
      <formula>AND($A9&lt;&gt;"COMPOSICAO",$A9&lt;&gt;"INSUMO",$A9&lt;&gt;"")</formula>
    </cfRule>
    <cfRule type="expression" dxfId="580" priority="396" stopIfTrue="1">
      <formula>AND(OR($A9="COMPOSICAO",$A9="INSUMO",$A9&lt;&gt;""),$A9&lt;&gt;"")</formula>
    </cfRule>
  </conditionalFormatting>
  <conditionalFormatting sqref="F30">
    <cfRule type="expression" dxfId="579" priority="393" stopIfTrue="1">
      <formula>AND($A15&lt;&gt;"COMPOSICAO",$A15&lt;&gt;"INSUMO",$A15&lt;&gt;"")</formula>
    </cfRule>
    <cfRule type="expression" dxfId="578" priority="394" stopIfTrue="1">
      <formula>AND(OR($A15="COMPOSICAO",$A15="INSUMO",$A15&lt;&gt;""),$A15&lt;&gt;"")</formula>
    </cfRule>
  </conditionalFormatting>
  <conditionalFormatting sqref="B35:F38">
    <cfRule type="expression" dxfId="577" priority="385" stopIfTrue="1">
      <formula>AND($A9&lt;&gt;"COMPOSICAO",$A9&lt;&gt;"INSUMO",$A9&lt;&gt;"")</formula>
    </cfRule>
    <cfRule type="expression" dxfId="576" priority="386" stopIfTrue="1">
      <formula>AND(OR($A9="COMPOSICAO",$A9="INSUMO",$A9&lt;&gt;""),$A9&lt;&gt;"")</formula>
    </cfRule>
  </conditionalFormatting>
  <conditionalFormatting sqref="B39:F39">
    <cfRule type="expression" dxfId="575" priority="381" stopIfTrue="1">
      <formula>AND($A10&lt;&gt;"COMPOSICAO",$A10&lt;&gt;"INSUMO",$A10&lt;&gt;"")</formula>
    </cfRule>
    <cfRule type="expression" dxfId="574" priority="382" stopIfTrue="1">
      <formula>AND(OR($A10="COMPOSICAO",$A10="INSUMO",$A10&lt;&gt;""),$A10&lt;&gt;"")</formula>
    </cfRule>
  </conditionalFormatting>
  <conditionalFormatting sqref="B40:F40">
    <cfRule type="expression" dxfId="573" priority="379" stopIfTrue="1">
      <formula>AND($A11&lt;&gt;"COMPOSICAO",$A11&lt;&gt;"INSUMO",$A11&lt;&gt;"")</formula>
    </cfRule>
    <cfRule type="expression" dxfId="572" priority="380" stopIfTrue="1">
      <formula>AND(OR($A11="COMPOSICAO",$A11="INSUMO",$A11&lt;&gt;""),$A11&lt;&gt;"")</formula>
    </cfRule>
  </conditionalFormatting>
  <conditionalFormatting sqref="O34:O39">
    <cfRule type="expression" dxfId="571" priority="359" stopIfTrue="1">
      <formula>AND($A34&lt;&gt;"COMPOSICAO",$A34&lt;&gt;"INSUMO",$A34&lt;&gt;"")</formula>
    </cfRule>
    <cfRule type="expression" dxfId="570" priority="360" stopIfTrue="1">
      <formula>AND(OR($A34="COMPOSICAO",$A34="INSUMO",$A34&lt;&gt;""),$A34&lt;&gt;"")</formula>
    </cfRule>
  </conditionalFormatting>
  <conditionalFormatting sqref="K33:P33 K34:N39 P34:P39">
    <cfRule type="expression" dxfId="569" priority="377" stopIfTrue="1">
      <formula>AND($A33&lt;&gt;"COMPOSICAO",$A33&lt;&gt;"INSUMO",$A33&lt;&gt;"")</formula>
    </cfRule>
    <cfRule type="expression" dxfId="568" priority="378" stopIfTrue="1">
      <formula>AND(OR($A33="COMPOSICAO",$A33="INSUMO",$A33&lt;&gt;""),$A33&lt;&gt;"")</formula>
    </cfRule>
  </conditionalFormatting>
  <conditionalFormatting sqref="Q33:Q39 R34:R39">
    <cfRule type="expression" dxfId="567" priority="375" stopIfTrue="1">
      <formula>AND($A33&lt;&gt;"COMPOSICAO",$A33&lt;&gt;"INSUMO",$A33&lt;&gt;"")</formula>
    </cfRule>
    <cfRule type="expression" dxfId="566" priority="376" stopIfTrue="1">
      <formula>AND(OR($A33="COMPOSICAO",$A33="INSUMO",$A33&lt;&gt;""),$A33&lt;&gt;"")</formula>
    </cfRule>
  </conditionalFormatting>
  <conditionalFormatting sqref="B168:F168">
    <cfRule type="expression" dxfId="565" priority="371" stopIfTrue="1">
      <formula>AND($A138&lt;&gt;"COMPOSICAO",$A138&lt;&gt;"INSUMO",$A138&lt;&gt;"")</formula>
    </cfRule>
    <cfRule type="expression" dxfId="564" priority="372" stopIfTrue="1">
      <formula>AND(OR($A138="COMPOSICAO",$A138="INSUMO",$A138&lt;&gt;""),$A138&lt;&gt;"")</formula>
    </cfRule>
  </conditionalFormatting>
  <conditionalFormatting sqref="B55:F58 B65:F67">
    <cfRule type="expression" dxfId="563" priority="367" stopIfTrue="1">
      <formula>AND($A31&lt;&gt;"COMPOSICAO",$A31&lt;&gt;"INSUMO",$A31&lt;&gt;"")</formula>
    </cfRule>
    <cfRule type="expression" dxfId="562" priority="368" stopIfTrue="1">
      <formula>AND(OR($A31="COMPOSICAO",$A31="INSUMO",$A31&lt;&gt;""),$A31&lt;&gt;"")</formula>
    </cfRule>
  </conditionalFormatting>
  <conditionalFormatting sqref="B49:F50">
    <cfRule type="expression" dxfId="561" priority="365" stopIfTrue="1">
      <formula>AND($A23&lt;&gt;"COMPOSICAO",$A23&lt;&gt;"INSUMO",$A23&lt;&gt;"")</formula>
    </cfRule>
    <cfRule type="expression" dxfId="560" priority="366" stopIfTrue="1">
      <formula>AND(OR($A23="COMPOSICAO",$A23="INSUMO",$A23&lt;&gt;""),$A23&lt;&gt;"")</formula>
    </cfRule>
  </conditionalFormatting>
  <conditionalFormatting sqref="R33">
    <cfRule type="expression" dxfId="559" priority="363" stopIfTrue="1">
      <formula>AND($A33&lt;&gt;"COMPOSICAO",$A33&lt;&gt;"INSUMO",$A33&lt;&gt;"")</formula>
    </cfRule>
    <cfRule type="expression" dxfId="558" priority="364" stopIfTrue="1">
      <formula>AND(OR($A33="COMPOSICAO",$A33="INSUMO",$A33&lt;&gt;""),$A33&lt;&gt;"")</formula>
    </cfRule>
  </conditionalFormatting>
  <conditionalFormatting sqref="S33:S39">
    <cfRule type="expression" dxfId="557" priority="361" stopIfTrue="1">
      <formula>AND($A33&lt;&gt;"COMPOSICAO",$A33&lt;&gt;"INSUMO",$A33&lt;&gt;"")</formula>
    </cfRule>
    <cfRule type="expression" dxfId="556" priority="362" stopIfTrue="1">
      <formula>AND(OR($A33="COMPOSICAO",$A33="INSUMO",$A33&lt;&gt;""),$A33&lt;&gt;"")</formula>
    </cfRule>
  </conditionalFormatting>
  <conditionalFormatting sqref="B45:F46 B48:F48 B47 F47">
    <cfRule type="expression" dxfId="555" priority="357" stopIfTrue="1">
      <formula>AND($A22&lt;&gt;"COMPOSICAO",$A22&lt;&gt;"INSUMO",$A22&lt;&gt;"")</formula>
    </cfRule>
    <cfRule type="expression" dxfId="554" priority="358" stopIfTrue="1">
      <formula>AND(OR($A22="COMPOSICAO",$A22="INSUMO",$A22&lt;&gt;""),$A22&lt;&gt;"")</formula>
    </cfRule>
  </conditionalFormatting>
  <conditionalFormatting sqref="B59:F59 B173:B174">
    <cfRule type="expression" dxfId="553" priority="355" stopIfTrue="1">
      <formula>AND($A32&lt;&gt;"COMPOSICAO",$A32&lt;&gt;"INSUMO",$A32&lt;&gt;"")</formula>
    </cfRule>
    <cfRule type="expression" dxfId="552" priority="356" stopIfTrue="1">
      <formula>AND(OR($A32="COMPOSICAO",$A32="INSUMO",$A32&lt;&gt;""),$A32&lt;&gt;"")</formula>
    </cfRule>
  </conditionalFormatting>
  <conditionalFormatting sqref="B60:F60">
    <cfRule type="expression" dxfId="551" priority="353" stopIfTrue="1">
      <formula>AND($A33&lt;&gt;"COMPOSICAO",$A33&lt;&gt;"INSUMO",$A33&lt;&gt;"")</formula>
    </cfRule>
    <cfRule type="expression" dxfId="550" priority="354" stopIfTrue="1">
      <formula>AND(OR($A33="COMPOSICAO",$A33="INSUMO",$A33&lt;&gt;""),$A33&lt;&gt;"")</formula>
    </cfRule>
  </conditionalFormatting>
  <conditionalFormatting sqref="T34:T39">
    <cfRule type="expression" dxfId="549" priority="351" stopIfTrue="1">
      <formula>AND($A34&lt;&gt;"COMPOSICAO",$A34&lt;&gt;"INSUMO",$A34&lt;&gt;"")</formula>
    </cfRule>
    <cfRule type="expression" dxfId="548" priority="352" stopIfTrue="1">
      <formula>AND(OR($A34="COMPOSICAO",$A34="INSUMO",$A34&lt;&gt;""),$A34&lt;&gt;"")</formula>
    </cfRule>
  </conditionalFormatting>
  <conditionalFormatting sqref="T33">
    <cfRule type="expression" dxfId="547" priority="349" stopIfTrue="1">
      <formula>AND($A33&lt;&gt;"COMPOSICAO",$A33&lt;&gt;"INSUMO",$A33&lt;&gt;"")</formula>
    </cfRule>
    <cfRule type="expression" dxfId="546" priority="350" stopIfTrue="1">
      <formula>AND(OR($A33="COMPOSICAO",$A33="INSUMO",$A33&lt;&gt;""),$A33&lt;&gt;"")</formula>
    </cfRule>
  </conditionalFormatting>
  <conditionalFormatting sqref="U33:U39">
    <cfRule type="expression" dxfId="545" priority="347" stopIfTrue="1">
      <formula>AND($A33&lt;&gt;"COMPOSICAO",$A33&lt;&gt;"INSUMO",$A33&lt;&gt;"")</formula>
    </cfRule>
    <cfRule type="expression" dxfId="544" priority="348" stopIfTrue="1">
      <formula>AND(OR($A33="COMPOSICAO",$A33="INSUMO",$A33&lt;&gt;""),$A33&lt;&gt;"")</formula>
    </cfRule>
  </conditionalFormatting>
  <conditionalFormatting sqref="B69:F69">
    <cfRule type="expression" dxfId="543" priority="343" stopIfTrue="1">
      <formula>AND($A42&lt;&gt;"COMPOSICAO",$A42&lt;&gt;"INSUMO",$A42&lt;&gt;"")</formula>
    </cfRule>
    <cfRule type="expression" dxfId="542" priority="344" stopIfTrue="1">
      <formula>AND(OR($A42="COMPOSICAO",$A42="INSUMO",$A42&lt;&gt;""),$A42&lt;&gt;"")</formula>
    </cfRule>
  </conditionalFormatting>
  <conditionalFormatting sqref="B70:F70">
    <cfRule type="expression" dxfId="541" priority="341" stopIfTrue="1">
      <formula>AND($A43&lt;&gt;"COMPOSICAO",$A43&lt;&gt;"INSUMO",$A43&lt;&gt;"")</formula>
    </cfRule>
    <cfRule type="expression" dxfId="540" priority="342" stopIfTrue="1">
      <formula>AND(OR($A43="COMPOSICAO",$A43="INSUMO",$A43&lt;&gt;""),$A43&lt;&gt;"")</formula>
    </cfRule>
  </conditionalFormatting>
  <conditionalFormatting sqref="B68:F68">
    <cfRule type="expression" dxfId="539" priority="725" stopIfTrue="1">
      <formula>AND($A43&lt;&gt;"COMPOSICAO",$A43&lt;&gt;"INSUMO",$A43&lt;&gt;"")</formula>
    </cfRule>
    <cfRule type="expression" dxfId="538" priority="726" stopIfTrue="1">
      <formula>AND(OR($A43="COMPOSICAO",$A43="INSUMO",$A43&lt;&gt;""),$A43&lt;&gt;"")</formula>
    </cfRule>
  </conditionalFormatting>
  <conditionalFormatting sqref="C73:F73">
    <cfRule type="expression" dxfId="537" priority="339" stopIfTrue="1">
      <formula>AND($A53&lt;&gt;"COMPOSICAO",$A53&lt;&gt;"INSUMO",$A53&lt;&gt;"")</formula>
    </cfRule>
    <cfRule type="expression" dxfId="536" priority="340" stopIfTrue="1">
      <formula>AND(OR($A53="COMPOSICAO",$A53="INSUMO",$A53&lt;&gt;""),$A53&lt;&gt;"")</formula>
    </cfRule>
  </conditionalFormatting>
  <conditionalFormatting sqref="B73">
    <cfRule type="expression" dxfId="535" priority="337" stopIfTrue="1">
      <formula>AND($A52&lt;&gt;"COMPOSICAO",$A52&lt;&gt;"INSUMO",$A52&lt;&gt;"")</formula>
    </cfRule>
    <cfRule type="expression" dxfId="534" priority="338" stopIfTrue="1">
      <formula>AND(OR($A52="COMPOSICAO",$A52="INSUMO",$A52&lt;&gt;""),$A52&lt;&gt;"")</formula>
    </cfRule>
  </conditionalFormatting>
  <conditionalFormatting sqref="B78:F80">
    <cfRule type="expression" dxfId="533" priority="321" stopIfTrue="1">
      <formula>AND($A69&lt;&gt;"COMPOSICAO",$A69&lt;&gt;"INSUMO",$A69&lt;&gt;"")</formula>
    </cfRule>
    <cfRule type="expression" dxfId="532" priority="322" stopIfTrue="1">
      <formula>AND(OR($A69="COMPOSICAO",$A69="INSUMO",$A69&lt;&gt;""),$A69&lt;&gt;"")</formula>
    </cfRule>
  </conditionalFormatting>
  <conditionalFormatting sqref="B84:F85">
    <cfRule type="expression" dxfId="531" priority="319" stopIfTrue="1">
      <formula>AND($A70&lt;&gt;"COMPOSICAO",$A70&lt;&gt;"INSUMO",$A70&lt;&gt;"")</formula>
    </cfRule>
    <cfRule type="expression" dxfId="530" priority="320" stopIfTrue="1">
      <formula>AND(OR($A70="COMPOSICAO",$A70="INSUMO",$A70&lt;&gt;""),$A70&lt;&gt;"")</formula>
    </cfRule>
  </conditionalFormatting>
  <conditionalFormatting sqref="B81:F81 C82:F83 B82">
    <cfRule type="expression" dxfId="529" priority="323" stopIfTrue="1">
      <formula>AND($A71&lt;&gt;"COMPOSICAO",$A71&lt;&gt;"INSUMO",$A71&lt;&gt;"")</formula>
    </cfRule>
    <cfRule type="expression" dxfId="528" priority="324" stopIfTrue="1">
      <formula>AND(OR($A71="COMPOSICAO",$A71="INSUMO",$A71&lt;&gt;""),$A71&lt;&gt;"")</formula>
    </cfRule>
  </conditionalFormatting>
  <conditionalFormatting sqref="B93:F96">
    <cfRule type="expression" dxfId="527" priority="309" stopIfTrue="1">
      <formula>AND(#REF!&lt;&gt;"COMPOSICAO",#REF!&lt;&gt;"INSUMO",#REF!&lt;&gt;"")</formula>
    </cfRule>
    <cfRule type="expression" dxfId="526" priority="310" stopIfTrue="1">
      <formula>AND(OR(#REF!="COMPOSICAO",#REF!="INSUMO",#REF!&lt;&gt;""),#REF!&lt;&gt;"")</formula>
    </cfRule>
  </conditionalFormatting>
  <conditionalFormatting sqref="B98:F98">
    <cfRule type="expression" dxfId="525" priority="307" stopIfTrue="1">
      <formula>AND(#REF!&lt;&gt;"COMPOSICAO",#REF!&lt;&gt;"INSUMO",#REF!&lt;&gt;"")</formula>
    </cfRule>
    <cfRule type="expression" dxfId="524" priority="308" stopIfTrue="1">
      <formula>AND(OR(#REF!="COMPOSICAO",#REF!="INSUMO",#REF!&lt;&gt;""),#REF!&lt;&gt;"")</formula>
    </cfRule>
  </conditionalFormatting>
  <conditionalFormatting sqref="B97:F97">
    <cfRule type="expression" dxfId="523" priority="311" stopIfTrue="1">
      <formula>AND(#REF!&lt;&gt;"COMPOSICAO",#REF!&lt;&gt;"INSUMO",#REF!&lt;&gt;"")</formula>
    </cfRule>
    <cfRule type="expression" dxfId="522" priority="312" stopIfTrue="1">
      <formula>AND(OR(#REF!="COMPOSICAO",#REF!="INSUMO",#REF!&lt;&gt;""),#REF!&lt;&gt;"")</formula>
    </cfRule>
  </conditionalFormatting>
  <conditionalFormatting sqref="C101:F101">
    <cfRule type="expression" dxfId="521" priority="303" stopIfTrue="1">
      <formula>AND($A80&lt;&gt;"COMPOSICAO",$A80&lt;&gt;"INSUMO",$A80&lt;&gt;"")</formula>
    </cfRule>
    <cfRule type="expression" dxfId="520" priority="304" stopIfTrue="1">
      <formula>AND(OR($A80="COMPOSICAO",$A80="INSUMO",$A80&lt;&gt;""),$A80&lt;&gt;"")</formula>
    </cfRule>
  </conditionalFormatting>
  <conditionalFormatting sqref="B101">
    <cfRule type="expression" dxfId="519" priority="301" stopIfTrue="1">
      <formula>AND($A79&lt;&gt;"COMPOSICAO",$A79&lt;&gt;"INSUMO",$A79&lt;&gt;"")</formula>
    </cfRule>
    <cfRule type="expression" dxfId="518" priority="302" stopIfTrue="1">
      <formula>AND(OR($A79="COMPOSICAO",$A79="INSUMO",$A79&lt;&gt;""),$A79&lt;&gt;"")</formula>
    </cfRule>
  </conditionalFormatting>
  <conditionalFormatting sqref="B166:F166">
    <cfRule type="expression" dxfId="517" priority="261" stopIfTrue="1">
      <formula>AND(#REF!&lt;&gt;"COMPOSICAO",#REF!&lt;&gt;"INSUMO",#REF!&lt;&gt;"")</formula>
    </cfRule>
    <cfRule type="expression" dxfId="516" priority="262" stopIfTrue="1">
      <formula>AND(OR(#REF!="COMPOSICAO",#REF!="INSUMO",#REF!&lt;&gt;""),#REF!&lt;&gt;"")</formula>
    </cfRule>
  </conditionalFormatting>
  <conditionalFormatting sqref="B170:F170 B174:F174 F175">
    <cfRule type="expression" dxfId="515" priority="247" stopIfTrue="1">
      <formula>AND(#REF!&lt;&gt;"COMPOSICAO",#REF!&lt;&gt;"INSUMO",#REF!&lt;&gt;"")</formula>
    </cfRule>
    <cfRule type="expression" dxfId="514" priority="248" stopIfTrue="1">
      <formula>AND(OR(#REF!="COMPOSICAO",#REF!="INSUMO",#REF!&lt;&gt;""),#REF!&lt;&gt;"")</formula>
    </cfRule>
  </conditionalFormatting>
  <conditionalFormatting sqref="B169:F169">
    <cfRule type="expression" dxfId="513" priority="251" stopIfTrue="1">
      <formula>AND($A138&lt;&gt;"COMPOSICAO",$A138&lt;&gt;"INSUMO",$A138&lt;&gt;"")</formula>
    </cfRule>
    <cfRule type="expression" dxfId="512" priority="252" stopIfTrue="1">
      <formula>AND(OR($A138="COMPOSICAO",$A138="INSUMO",$A138&lt;&gt;""),$A138&lt;&gt;"")</formula>
    </cfRule>
  </conditionalFormatting>
  <conditionalFormatting sqref="C173:F174 F175">
    <cfRule type="expression" dxfId="511" priority="243" stopIfTrue="1">
      <formula>AND($A147&lt;&gt;"COMPOSICAO",$A147&lt;&gt;"INSUMO",$A147&lt;&gt;"")</formula>
    </cfRule>
    <cfRule type="expression" dxfId="510" priority="244" stopIfTrue="1">
      <formula>AND(OR($A147="COMPOSICAO",$A147="INSUMO",$A147&lt;&gt;""),$A147&lt;&gt;"")</formula>
    </cfRule>
  </conditionalFormatting>
  <conditionalFormatting sqref="C211:F216">
    <cfRule type="expression" dxfId="509" priority="219" stopIfTrue="1">
      <formula>AND($A185&lt;&gt;"COMPOSICAO",$A185&lt;&gt;"INSUMO",$A185&lt;&gt;"")</formula>
    </cfRule>
    <cfRule type="expression" dxfId="508" priority="220" stopIfTrue="1">
      <formula>AND(OR($A185="COMPOSICAO",$A185="INSUMO",$A185&lt;&gt;""),$A185&lt;&gt;"")</formula>
    </cfRule>
  </conditionalFormatting>
  <conditionalFormatting sqref="B211:B216">
    <cfRule type="expression" dxfId="507" priority="217" stopIfTrue="1">
      <formula>AND($A185&lt;&gt;"COMPOSICAO",$A185&lt;&gt;"INSUMO",$A185&lt;&gt;"")</formula>
    </cfRule>
    <cfRule type="expression" dxfId="506" priority="218" stopIfTrue="1">
      <formula>AND(OR($A185="COMPOSICAO",$A185="INSUMO",$A185&lt;&gt;""),$A185&lt;&gt;"")</formula>
    </cfRule>
  </conditionalFormatting>
  <conditionalFormatting sqref="C255:F255">
    <cfRule type="expression" dxfId="505" priority="167" stopIfTrue="1">
      <formula>AND($A221&lt;&gt;"COMPOSICAO",$A221&lt;&gt;"INSUMO",$A221&lt;&gt;"")</formula>
    </cfRule>
    <cfRule type="expression" dxfId="504" priority="168" stopIfTrue="1">
      <formula>AND(OR($A221="COMPOSICAO",$A221="INSUMO",$A221&lt;&gt;""),$A221&lt;&gt;"")</formula>
    </cfRule>
  </conditionalFormatting>
  <conditionalFormatting sqref="B255">
    <cfRule type="expression" dxfId="503" priority="165" stopIfTrue="1">
      <formula>AND($A220&lt;&gt;"COMPOSICAO",$A220&lt;&gt;"INSUMO",$A220&lt;&gt;"")</formula>
    </cfRule>
    <cfRule type="expression" dxfId="502" priority="166" stopIfTrue="1">
      <formula>AND(OR($A220="COMPOSICAO",$A220="INSUMO",$A220&lt;&gt;""),$A220&lt;&gt;"")</formula>
    </cfRule>
  </conditionalFormatting>
  <conditionalFormatting sqref="B299">
    <cfRule type="expression" dxfId="501" priority="149" stopIfTrue="1">
      <formula>AND($A255&lt;&gt;"COMPOSICAO",$A255&lt;&gt;"INSUMO",$A255&lt;&gt;"")</formula>
    </cfRule>
    <cfRule type="expression" dxfId="500" priority="150" stopIfTrue="1">
      <formula>AND(OR($A255="COMPOSICAO",$A255="INSUMO",$A255&lt;&gt;""),$A255&lt;&gt;"")</formula>
    </cfRule>
  </conditionalFormatting>
  <conditionalFormatting sqref="C266:F266">
    <cfRule type="expression" dxfId="499" priority="163" stopIfTrue="1">
      <formula>AND($A234&lt;&gt;"COMPOSICAO",$A234&lt;&gt;"INSUMO",$A234&lt;&gt;"")</formula>
    </cfRule>
    <cfRule type="expression" dxfId="498" priority="164" stopIfTrue="1">
      <formula>AND(OR($A234="COMPOSICAO",$A234="INSUMO",$A234&lt;&gt;""),$A234&lt;&gt;"")</formula>
    </cfRule>
  </conditionalFormatting>
  <conditionalFormatting sqref="B266">
    <cfRule type="expression" dxfId="497" priority="161" stopIfTrue="1">
      <formula>AND($A233&lt;&gt;"COMPOSICAO",$A233&lt;&gt;"INSUMO",$A233&lt;&gt;"")</formula>
    </cfRule>
    <cfRule type="expression" dxfId="496" priority="162" stopIfTrue="1">
      <formula>AND(OR($A233="COMPOSICAO",$A233="INSUMO",$A233&lt;&gt;""),$A233&lt;&gt;"")</formula>
    </cfRule>
  </conditionalFormatting>
  <conditionalFormatting sqref="C277:F277">
    <cfRule type="expression" dxfId="495" priority="159" stopIfTrue="1">
      <formula>AND($A245&lt;&gt;"COMPOSICAO",$A245&lt;&gt;"INSUMO",$A245&lt;&gt;"")</formula>
    </cfRule>
    <cfRule type="expression" dxfId="494" priority="160" stopIfTrue="1">
      <formula>AND(OR($A245="COMPOSICAO",$A245="INSUMO",$A245&lt;&gt;""),$A245&lt;&gt;"")</formula>
    </cfRule>
  </conditionalFormatting>
  <conditionalFormatting sqref="B277">
    <cfRule type="expression" dxfId="493" priority="157" stopIfTrue="1">
      <formula>AND($A244&lt;&gt;"COMPOSICAO",$A244&lt;&gt;"INSUMO",$A244&lt;&gt;"")</formula>
    </cfRule>
    <cfRule type="expression" dxfId="492" priority="158" stopIfTrue="1">
      <formula>AND(OR($A244="COMPOSICAO",$A244="INSUMO",$A244&lt;&gt;""),$A244&lt;&gt;"")</formula>
    </cfRule>
  </conditionalFormatting>
  <conditionalFormatting sqref="C288:F288">
    <cfRule type="expression" dxfId="491" priority="155" stopIfTrue="1">
      <formula>AND(#REF!&lt;&gt;"COMPOSICAO",#REF!&lt;&gt;"INSUMO",#REF!&lt;&gt;"")</formula>
    </cfRule>
    <cfRule type="expression" dxfId="490" priority="156" stopIfTrue="1">
      <formula>AND(OR(#REF!="COMPOSICAO",#REF!="INSUMO",#REF!&lt;&gt;""),#REF!&lt;&gt;"")</formula>
    </cfRule>
  </conditionalFormatting>
  <conditionalFormatting sqref="B288">
    <cfRule type="expression" dxfId="489" priority="153" stopIfTrue="1">
      <formula>AND(#REF!&lt;&gt;"COMPOSICAO",#REF!&lt;&gt;"INSUMO",#REF!&lt;&gt;"")</formula>
    </cfRule>
    <cfRule type="expression" dxfId="488" priority="154" stopIfTrue="1">
      <formula>AND(OR(#REF!="COMPOSICAO",#REF!="INSUMO",#REF!&lt;&gt;""),#REF!&lt;&gt;"")</formula>
    </cfRule>
  </conditionalFormatting>
  <conditionalFormatting sqref="C299:F299">
    <cfRule type="expression" dxfId="487" priority="151" stopIfTrue="1">
      <formula>AND($A256&lt;&gt;"COMPOSICAO",$A256&lt;&gt;"INSUMO",$A256&lt;&gt;"")</formula>
    </cfRule>
    <cfRule type="expression" dxfId="486" priority="152" stopIfTrue="1">
      <formula>AND(OR($A256="COMPOSICAO",$A256="INSUMO",$A256&lt;&gt;""),$A256&lt;&gt;"")</formula>
    </cfRule>
  </conditionalFormatting>
  <conditionalFormatting sqref="B167:F167">
    <cfRule type="expression" dxfId="485" priority="743" stopIfTrue="1">
      <formula>AND(#REF!&lt;&gt;"COMPOSICAO",#REF!&lt;&gt;"INSUMO",#REF!&lt;&gt;"")</formula>
    </cfRule>
    <cfRule type="expression" dxfId="484" priority="744" stopIfTrue="1">
      <formula>AND(OR(#REF!="COMPOSICAO",#REF!="INSUMO",#REF!&lt;&gt;""),#REF!&lt;&gt;"")</formula>
    </cfRule>
  </conditionalFormatting>
  <conditionalFormatting sqref="B83">
    <cfRule type="expression" dxfId="483" priority="747" stopIfTrue="1">
      <formula>AND($A72&lt;&gt;"COMPOSICAO",$A72&lt;&gt;"INSUMO",$A72&lt;&gt;"")</formula>
    </cfRule>
    <cfRule type="expression" dxfId="482" priority="748" stopIfTrue="1">
      <formula>AND(OR($A72="COMPOSICAO",$A72="INSUMO",$A72&lt;&gt;""),$A72&lt;&gt;"")</formula>
    </cfRule>
  </conditionalFormatting>
  <conditionalFormatting sqref="C47:E47">
    <cfRule type="expression" dxfId="481" priority="141" stopIfTrue="1">
      <formula>AND($A23&lt;&gt;"COMPOSICAO",$A23&lt;&gt;"INSUMO",$A23&lt;&gt;"")</formula>
    </cfRule>
    <cfRule type="expression" dxfId="480" priority="142" stopIfTrue="1">
      <formula>AND(OR($A23="COMPOSICAO",$A23="INSUMO",$A23&lt;&gt;""),$A23&lt;&gt;"")</formula>
    </cfRule>
  </conditionalFormatting>
  <conditionalFormatting sqref="C88:F88">
    <cfRule type="expression" dxfId="479" priority="139" stopIfTrue="1">
      <formula>AND($A67&lt;&gt;"COMPOSICAO",$A67&lt;&gt;"INSUMO",$A67&lt;&gt;"")</formula>
    </cfRule>
    <cfRule type="expression" dxfId="478" priority="140" stopIfTrue="1">
      <formula>AND(OR($A67="COMPOSICAO",$A67="INSUMO",$A67&lt;&gt;""),$A67&lt;&gt;"")</formula>
    </cfRule>
  </conditionalFormatting>
  <conditionalFormatting sqref="B88">
    <cfRule type="expression" dxfId="477" priority="137" stopIfTrue="1">
      <formula>AND($A66&lt;&gt;"COMPOSICAO",$A66&lt;&gt;"INSUMO",$A66&lt;&gt;"")</formula>
    </cfRule>
    <cfRule type="expression" dxfId="476" priority="138" stopIfTrue="1">
      <formula>AND(OR($A66="COMPOSICAO",$A66="INSUMO",$A66&lt;&gt;""),$A66&lt;&gt;"")</formula>
    </cfRule>
  </conditionalFormatting>
  <conditionalFormatting sqref="B106:F108">
    <cfRule type="expression" dxfId="475" priority="131" stopIfTrue="1">
      <formula>AND($A97&lt;&gt;"COMPOSICAO",$A97&lt;&gt;"INSUMO",$A97&lt;&gt;"")</formula>
    </cfRule>
    <cfRule type="expression" dxfId="474" priority="132" stopIfTrue="1">
      <formula>AND(OR($A97="COMPOSICAO",$A97="INSUMO",$A97&lt;&gt;""),$A97&lt;&gt;"")</formula>
    </cfRule>
  </conditionalFormatting>
  <conditionalFormatting sqref="B112:F113">
    <cfRule type="expression" dxfId="473" priority="129" stopIfTrue="1">
      <formula>AND($A98&lt;&gt;"COMPOSICAO",$A98&lt;&gt;"INSUMO",$A98&lt;&gt;"")</formula>
    </cfRule>
    <cfRule type="expression" dxfId="472" priority="130" stopIfTrue="1">
      <formula>AND(OR($A98="COMPOSICAO",$A98="INSUMO",$A98&lt;&gt;""),$A98&lt;&gt;"")</formula>
    </cfRule>
  </conditionalFormatting>
  <conditionalFormatting sqref="B109:F109 C110:F111 B110">
    <cfRule type="expression" dxfId="471" priority="133" stopIfTrue="1">
      <formula>AND($A99&lt;&gt;"COMPOSICAO",$A99&lt;&gt;"INSUMO",$A99&lt;&gt;"")</formula>
    </cfRule>
    <cfRule type="expression" dxfId="470" priority="134" stopIfTrue="1">
      <formula>AND(OR($A99="COMPOSICAO",$A99="INSUMO",$A99&lt;&gt;""),$A99&lt;&gt;"")</formula>
    </cfRule>
  </conditionalFormatting>
  <conditionalFormatting sqref="B111">
    <cfRule type="expression" dxfId="469" priority="135" stopIfTrue="1">
      <formula>AND($A100&lt;&gt;"COMPOSICAO",$A100&lt;&gt;"INSUMO",$A100&lt;&gt;"")</formula>
    </cfRule>
    <cfRule type="expression" dxfId="468" priority="136" stopIfTrue="1">
      <formula>AND(OR($A100="COMPOSICAO",$A100="INSUMO",$A100&lt;&gt;""),$A100&lt;&gt;"")</formula>
    </cfRule>
  </conditionalFormatting>
  <conditionalFormatting sqref="C116:F116">
    <cfRule type="expression" dxfId="467" priority="127" stopIfTrue="1">
      <formula>AND($A95&lt;&gt;"COMPOSICAO",$A95&lt;&gt;"INSUMO",$A95&lt;&gt;"")</formula>
    </cfRule>
    <cfRule type="expression" dxfId="466" priority="128" stopIfTrue="1">
      <formula>AND(OR($A95="COMPOSICAO",$A95="INSUMO",$A95&lt;&gt;""),$A95&lt;&gt;"")</formula>
    </cfRule>
  </conditionalFormatting>
  <conditionalFormatting sqref="B116">
    <cfRule type="expression" dxfId="465" priority="125" stopIfTrue="1">
      <formula>AND($A94&lt;&gt;"COMPOSICAO",$A94&lt;&gt;"INSUMO",$A94&lt;&gt;"")</formula>
    </cfRule>
    <cfRule type="expression" dxfId="464" priority="126" stopIfTrue="1">
      <formula>AND(OR($A94="COMPOSICAO",$A94="INSUMO",$A94&lt;&gt;""),$A94&lt;&gt;"")</formula>
    </cfRule>
  </conditionalFormatting>
  <conditionalFormatting sqref="B121:F123">
    <cfRule type="expression" dxfId="463" priority="123" stopIfTrue="1">
      <formula>AND($A112&lt;&gt;"COMPOSICAO",$A112&lt;&gt;"INSUMO",$A112&lt;&gt;"")</formula>
    </cfRule>
    <cfRule type="expression" dxfId="462" priority="123" stopIfTrue="1">
      <formula>AND(OR($A112="COMPOSICAO",$A112="INSUMO",$A112&lt;&gt;""),$A112&lt;&gt;"")</formula>
    </cfRule>
  </conditionalFormatting>
  <conditionalFormatting sqref="B127:F128">
    <cfRule type="expression" dxfId="461" priority="121" stopIfTrue="1">
      <formula>AND($A113&lt;&gt;"COMPOSICAO",$A113&lt;&gt;"INSUMO",$A113&lt;&gt;"")</formula>
    </cfRule>
    <cfRule type="expression" dxfId="460" priority="121" stopIfTrue="1">
      <formula>AND(OR($A113="COMPOSICAO",$A113="INSUMO",$A113&lt;&gt;""),$A113&lt;&gt;"")</formula>
    </cfRule>
  </conditionalFormatting>
  <conditionalFormatting sqref="B124:F124 C125:F126 B125">
    <cfRule type="expression" dxfId="459" priority="122" stopIfTrue="1">
      <formula>AND(OR($A114="COMPOSICAO",$A114="INSUMO",$A114&lt;&gt;""),$A114&lt;&gt;"")</formula>
    </cfRule>
    <cfRule type="expression" dxfId="458" priority="749" stopIfTrue="1">
      <formula>AND($A114&lt;&gt;"COMPOSICAO",$A114&lt;&gt;"INSUMO",$A114&lt;&gt;"")</formula>
    </cfRule>
  </conditionalFormatting>
  <conditionalFormatting sqref="B126">
    <cfRule type="expression" dxfId="457" priority="124" stopIfTrue="1">
      <formula>AND(OR($A115="COMPOSICAO",$A115="INSUMO",$A115&lt;&gt;""),$A115&lt;&gt;"")</formula>
    </cfRule>
    <cfRule type="expression" dxfId="456" priority="750" stopIfTrue="1">
      <formula>AND($A115&lt;&gt;"COMPOSICAO",$A115&lt;&gt;"INSUMO",$A115&lt;&gt;"")</formula>
    </cfRule>
  </conditionalFormatting>
  <conditionalFormatting sqref="C131:F131">
    <cfRule type="expression" dxfId="455" priority="115" stopIfTrue="1">
      <formula>AND($A110&lt;&gt;"COMPOSICAO",$A110&lt;&gt;"INSUMO",$A110&lt;&gt;"")</formula>
    </cfRule>
    <cfRule type="expression" dxfId="454" priority="116" stopIfTrue="1">
      <formula>AND(OR($A110="COMPOSICAO",$A110="INSUMO",$A110&lt;&gt;""),$A110&lt;&gt;"")</formula>
    </cfRule>
  </conditionalFormatting>
  <conditionalFormatting sqref="B131">
    <cfRule type="expression" dxfId="453" priority="113" stopIfTrue="1">
      <formula>AND($A109&lt;&gt;"COMPOSICAO",$A109&lt;&gt;"INSUMO",$A109&lt;&gt;"")</formula>
    </cfRule>
    <cfRule type="expression" dxfId="452" priority="114" stopIfTrue="1">
      <formula>AND(OR($A109="COMPOSICAO",$A109="INSUMO",$A109&lt;&gt;""),$A109&lt;&gt;"")</formula>
    </cfRule>
  </conditionalFormatting>
  <conditionalFormatting sqref="B136:F138">
    <cfRule type="expression" dxfId="451" priority="107" stopIfTrue="1">
      <formula>AND($A127&lt;&gt;"COMPOSICAO",$A127&lt;&gt;"INSUMO",$A127&lt;&gt;"")</formula>
    </cfRule>
  </conditionalFormatting>
  <conditionalFormatting sqref="B142:F143">
    <cfRule type="expression" dxfId="450" priority="105" stopIfTrue="1">
      <formula>AND($A128&lt;&gt;"COMPOSICAO",$A128&lt;&gt;"INSUMO",$A128&lt;&gt;"")</formula>
    </cfRule>
  </conditionalFormatting>
  <conditionalFormatting sqref="B139:F139 C140:F141 B140">
    <cfRule type="expression" dxfId="449" priority="106" stopIfTrue="1">
      <formula>AND(OR($A129="COMPOSICAO",$A129="INSUMO",$A129&lt;&gt;""),$A129&lt;&gt;"")</formula>
    </cfRule>
  </conditionalFormatting>
  <conditionalFormatting sqref="B141">
    <cfRule type="expression" dxfId="448" priority="108" stopIfTrue="1">
      <formula>AND(OR($A130="COMPOSICAO",$A130="INSUMO",$A130&lt;&gt;""),$A130&lt;&gt;"")</formula>
    </cfRule>
  </conditionalFormatting>
  <conditionalFormatting sqref="C146:F146">
    <cfRule type="expression" dxfId="447" priority="103" stopIfTrue="1">
      <formula>AND($A125&lt;&gt;"COMPOSICAO",$A125&lt;&gt;"INSUMO",$A125&lt;&gt;"")</formula>
    </cfRule>
    <cfRule type="expression" dxfId="446" priority="104" stopIfTrue="1">
      <formula>AND(OR($A125="COMPOSICAO",$A125="INSUMO",$A125&lt;&gt;""),$A125&lt;&gt;"")</formula>
    </cfRule>
  </conditionalFormatting>
  <conditionalFormatting sqref="B146">
    <cfRule type="expression" dxfId="445" priority="101" stopIfTrue="1">
      <formula>AND($A124&lt;&gt;"COMPOSICAO",$A124&lt;&gt;"INSUMO",$A124&lt;&gt;"")</formula>
    </cfRule>
    <cfRule type="expression" dxfId="444" priority="102" stopIfTrue="1">
      <formula>AND(OR($A124="COMPOSICAO",$A124="INSUMO",$A124&lt;&gt;""),$A124&lt;&gt;"")</formula>
    </cfRule>
  </conditionalFormatting>
  <conditionalFormatting sqref="B151:F153">
    <cfRule type="expression" dxfId="443" priority="95" stopIfTrue="1">
      <formula>AND($A142&lt;&gt;"COMPOSICAO",$A142&lt;&gt;"INSUMO",$A142&lt;&gt;"")</formula>
    </cfRule>
    <cfRule type="expression" dxfId="442" priority="99" stopIfTrue="1">
      <formula>AND(OR($A142="COMPOSICAO",$A142="INSUMO",$A142&lt;&gt;""),$A142&lt;&gt;"")</formula>
    </cfRule>
  </conditionalFormatting>
  <conditionalFormatting sqref="B157:F158">
    <cfRule type="expression" dxfId="441" priority="93" stopIfTrue="1">
      <formula>AND($A143&lt;&gt;"COMPOSICAO",$A143&lt;&gt;"INSUMO",$A143&lt;&gt;"")</formula>
    </cfRule>
    <cfRule type="expression" dxfId="440" priority="97" stopIfTrue="1">
      <formula>AND(OR($A143="COMPOSICAO",$A143="INSUMO",$A143&lt;&gt;""),$A143&lt;&gt;"")</formula>
    </cfRule>
  </conditionalFormatting>
  <conditionalFormatting sqref="B154:F154 C155:F156 B155">
    <cfRule type="expression" dxfId="439" priority="94" stopIfTrue="1">
      <formula>AND(OR($A144="COMPOSICAO",$A144="INSUMO",$A144&lt;&gt;""),$A144&lt;&gt;"")</formula>
    </cfRule>
    <cfRule type="expression" dxfId="438" priority="751" stopIfTrue="1">
      <formula>AND($A144&lt;&gt;"COMPOSICAO",$A144&lt;&gt;"INSUMO",$A144&lt;&gt;"")</formula>
    </cfRule>
  </conditionalFormatting>
  <conditionalFormatting sqref="B156">
    <cfRule type="expression" dxfId="437" priority="96" stopIfTrue="1">
      <formula>AND(OR($A145="COMPOSICAO",$A145="INSUMO",$A145&lt;&gt;""),$A145&lt;&gt;"")</formula>
    </cfRule>
    <cfRule type="expression" dxfId="436" priority="752" stopIfTrue="1">
      <formula>AND($A145&lt;&gt;"COMPOSICAO",$A145&lt;&gt;"INSUMO",$A145&lt;&gt;"")</formula>
    </cfRule>
  </conditionalFormatting>
  <conditionalFormatting sqref="C161:F161">
    <cfRule type="expression" dxfId="435" priority="91" stopIfTrue="1">
      <formula>AND($A140&lt;&gt;"COMPOSICAO",$A140&lt;&gt;"INSUMO",$A140&lt;&gt;"")</formula>
    </cfRule>
    <cfRule type="expression" dxfId="434" priority="92" stopIfTrue="1">
      <formula>AND(OR($A140="COMPOSICAO",$A140="INSUMO",$A140&lt;&gt;""),$A140&lt;&gt;"")</formula>
    </cfRule>
  </conditionalFormatting>
  <conditionalFormatting sqref="B161">
    <cfRule type="expression" dxfId="433" priority="89" stopIfTrue="1">
      <formula>AND($A139&lt;&gt;"COMPOSICAO",$A139&lt;&gt;"INSUMO",$A139&lt;&gt;"")</formula>
    </cfRule>
    <cfRule type="expression" dxfId="432" priority="90" stopIfTrue="1">
      <formula>AND(OR($A139="COMPOSICAO",$A139="INSUMO",$A139&lt;&gt;""),$A139&lt;&gt;"")</formula>
    </cfRule>
  </conditionalFormatting>
  <conditionalFormatting sqref="B15:F16">
    <cfRule type="expression" dxfId="431" priority="753" stopIfTrue="1">
      <formula>AND($A1048548&lt;&gt;"COMPOSICAO",$A1048548&lt;&gt;"INSUMO",$A1048548&lt;&gt;"")</formula>
    </cfRule>
    <cfRule type="expression" dxfId="430" priority="753" stopIfTrue="1">
      <formula>AND(OR($A1048548="COMPOSICAO",$A1048548="INSUMO",$A1048548&lt;&gt;""),$A1048548&lt;&gt;"")</formula>
    </cfRule>
  </conditionalFormatting>
  <conditionalFormatting sqref="B17:F17">
    <cfRule type="expression" dxfId="429" priority="757" stopIfTrue="1">
      <formula>AND($A1048549&lt;&gt;"COMPOSICAO",$A1048549&lt;&gt;"INSUMO",$A1048549&lt;&gt;"")</formula>
    </cfRule>
    <cfRule type="expression" dxfId="428" priority="758" stopIfTrue="1">
      <formula>AND(OR($A1048549="COMPOSICAO",$A1048549="INSUMO",$A1048549&lt;&gt;""),$A1048549&lt;&gt;"")</formula>
    </cfRule>
  </conditionalFormatting>
  <conditionalFormatting sqref="B182:F182">
    <cfRule type="expression" dxfId="427" priority="81" stopIfTrue="1">
      <formula>AND($A152&lt;&gt;"COMPOSICAO",$A152&lt;&gt;"INSUMO",$A152&lt;&gt;"")</formula>
    </cfRule>
    <cfRule type="expression" dxfId="426" priority="82" stopIfTrue="1">
      <formula>AND(OR($A152="COMPOSICAO",$A152="INSUMO",$A152&lt;&gt;""),$A152&lt;&gt;"")</formula>
    </cfRule>
  </conditionalFormatting>
  <conditionalFormatting sqref="B187:B188">
    <cfRule type="expression" dxfId="425" priority="79" stopIfTrue="1">
      <formula>AND($A160&lt;&gt;"COMPOSICAO",$A160&lt;&gt;"INSUMO",$A160&lt;&gt;"")</formula>
    </cfRule>
    <cfRule type="expression" dxfId="424" priority="80" stopIfTrue="1">
      <formula>AND(OR($A160="COMPOSICAO",$A160="INSUMO",$A160&lt;&gt;""),$A160&lt;&gt;"")</formula>
    </cfRule>
  </conditionalFormatting>
  <conditionalFormatting sqref="B180:F180">
    <cfRule type="expression" dxfId="423" priority="77" stopIfTrue="1">
      <formula>AND(#REF!&lt;&gt;"COMPOSICAO",#REF!&lt;&gt;"INSUMO",#REF!&lt;&gt;"")</formula>
    </cfRule>
    <cfRule type="expression" dxfId="422" priority="78" stopIfTrue="1">
      <formula>AND(OR(#REF!="COMPOSICAO",#REF!="INSUMO",#REF!&lt;&gt;""),#REF!&lt;&gt;"")</formula>
    </cfRule>
  </conditionalFormatting>
  <conditionalFormatting sqref="B184:F184 B188:F188 F189">
    <cfRule type="expression" dxfId="421" priority="73" stopIfTrue="1">
      <formula>AND(#REF!&lt;&gt;"COMPOSICAO",#REF!&lt;&gt;"INSUMO",#REF!&lt;&gt;"")</formula>
    </cfRule>
    <cfRule type="expression" dxfId="420" priority="74" stopIfTrue="1">
      <formula>AND(OR(#REF!="COMPOSICAO",#REF!="INSUMO",#REF!&lt;&gt;""),#REF!&lt;&gt;"")</formula>
    </cfRule>
  </conditionalFormatting>
  <conditionalFormatting sqref="B183:F183">
    <cfRule type="expression" dxfId="419" priority="75" stopIfTrue="1">
      <formula>AND($A152&lt;&gt;"COMPOSICAO",$A152&lt;&gt;"INSUMO",$A152&lt;&gt;"")</formula>
    </cfRule>
    <cfRule type="expression" dxfId="418" priority="76" stopIfTrue="1">
      <formula>AND(OR($A152="COMPOSICAO",$A152="INSUMO",$A152&lt;&gt;""),$A152&lt;&gt;"")</formula>
    </cfRule>
  </conditionalFormatting>
  <conditionalFormatting sqref="C187:F188 F189">
    <cfRule type="expression" dxfId="417" priority="71" stopIfTrue="1">
      <formula>AND($A161&lt;&gt;"COMPOSICAO",$A161&lt;&gt;"INSUMO",$A161&lt;&gt;"")</formula>
    </cfRule>
    <cfRule type="expression" dxfId="416" priority="72" stopIfTrue="1">
      <formula>AND(OR($A161="COMPOSICAO",$A161="INSUMO",$A161&lt;&gt;""),$A161&lt;&gt;"")</formula>
    </cfRule>
  </conditionalFormatting>
  <conditionalFormatting sqref="B181:F181">
    <cfRule type="expression" dxfId="415" priority="83" stopIfTrue="1">
      <formula>AND(#REF!&lt;&gt;"COMPOSICAO",#REF!&lt;&gt;"INSUMO",#REF!&lt;&gt;"")</formula>
    </cfRule>
    <cfRule type="expression" dxfId="414" priority="84" stopIfTrue="1">
      <formula>AND(OR(#REF!="COMPOSICAO",#REF!="INSUMO",#REF!&lt;&gt;""),#REF!&lt;&gt;"")</formula>
    </cfRule>
  </conditionalFormatting>
  <conditionalFormatting sqref="B196:F196">
    <cfRule type="expression" dxfId="413" priority="67" stopIfTrue="1">
      <formula>AND($A166&lt;&gt;"COMPOSICAO",$A166&lt;&gt;"INSUMO",$A166&lt;&gt;"")</formula>
    </cfRule>
    <cfRule type="expression" dxfId="412" priority="68" stopIfTrue="1">
      <formula>AND(OR($A166="COMPOSICAO",$A166="INSUMO",$A166&lt;&gt;""),$A166&lt;&gt;"")</formula>
    </cfRule>
  </conditionalFormatting>
  <conditionalFormatting sqref="B201:B202">
    <cfRule type="expression" dxfId="411" priority="65" stopIfTrue="1">
      <formula>AND($A174&lt;&gt;"COMPOSICAO",$A174&lt;&gt;"INSUMO",$A174&lt;&gt;"")</formula>
    </cfRule>
    <cfRule type="expression" dxfId="410" priority="66" stopIfTrue="1">
      <formula>AND(OR($A174="COMPOSICAO",$A174="INSUMO",$A174&lt;&gt;""),$A174&lt;&gt;"")</formula>
    </cfRule>
  </conditionalFormatting>
  <conditionalFormatting sqref="B194:F194">
    <cfRule type="expression" dxfId="409" priority="63" stopIfTrue="1">
      <formula>AND(#REF!&lt;&gt;"COMPOSICAO",#REF!&lt;&gt;"INSUMO",#REF!&lt;&gt;"")</formula>
    </cfRule>
    <cfRule type="expression" dxfId="408" priority="64" stopIfTrue="1">
      <formula>AND(OR(#REF!="COMPOSICAO",#REF!="INSUMO",#REF!&lt;&gt;""),#REF!&lt;&gt;"")</formula>
    </cfRule>
  </conditionalFormatting>
  <conditionalFormatting sqref="B198:F198 B202:F202 F203">
    <cfRule type="expression" dxfId="407" priority="59" stopIfTrue="1">
      <formula>AND(#REF!&lt;&gt;"COMPOSICAO",#REF!&lt;&gt;"INSUMO",#REF!&lt;&gt;"")</formula>
    </cfRule>
    <cfRule type="expression" dxfId="406" priority="60" stopIfTrue="1">
      <formula>AND(OR(#REF!="COMPOSICAO",#REF!="INSUMO",#REF!&lt;&gt;""),#REF!&lt;&gt;"")</formula>
    </cfRule>
  </conditionalFormatting>
  <conditionalFormatting sqref="B197:F197">
    <cfRule type="expression" dxfId="405" priority="61" stopIfTrue="1">
      <formula>AND($A166&lt;&gt;"COMPOSICAO",$A166&lt;&gt;"INSUMO",$A166&lt;&gt;"")</formula>
    </cfRule>
    <cfRule type="expression" dxfId="404" priority="62" stopIfTrue="1">
      <formula>AND(OR($A166="COMPOSICAO",$A166="INSUMO",$A166&lt;&gt;""),$A166&lt;&gt;"")</formula>
    </cfRule>
  </conditionalFormatting>
  <conditionalFormatting sqref="C201:F202 F203">
    <cfRule type="expression" dxfId="403" priority="57" stopIfTrue="1">
      <formula>AND($A175&lt;&gt;"COMPOSICAO",$A175&lt;&gt;"INSUMO",$A175&lt;&gt;"")</formula>
    </cfRule>
    <cfRule type="expression" dxfId="402" priority="58" stopIfTrue="1">
      <formula>AND(OR($A175="COMPOSICAO",$A175="INSUMO",$A175&lt;&gt;""),$A175&lt;&gt;"")</formula>
    </cfRule>
  </conditionalFormatting>
  <conditionalFormatting sqref="B195:F195">
    <cfRule type="expression" dxfId="401" priority="69" stopIfTrue="1">
      <formula>AND(#REF!&lt;&gt;"COMPOSICAO",#REF!&lt;&gt;"INSUMO",#REF!&lt;&gt;"")</formula>
    </cfRule>
    <cfRule type="expression" dxfId="400" priority="70" stopIfTrue="1">
      <formula>AND(OR(#REF!="COMPOSICAO",#REF!="INSUMO",#REF!&lt;&gt;""),#REF!&lt;&gt;"")</formula>
    </cfRule>
  </conditionalFormatting>
  <conditionalFormatting sqref="B209">
    <cfRule type="expression" dxfId="399" priority="55" stopIfTrue="1">
      <formula>AND($A182&lt;&gt;"COMPOSICAO",$A182&lt;&gt;"INSUMO",$A182&lt;&gt;"")</formula>
    </cfRule>
    <cfRule type="expression" dxfId="398" priority="56" stopIfTrue="1">
      <formula>AND(OR($A182="COMPOSICAO",$A182="INSUMO",$A182&lt;&gt;""),$A182&lt;&gt;"")</formula>
    </cfRule>
  </conditionalFormatting>
  <conditionalFormatting sqref="B209:F209 F210">
    <cfRule type="expression" dxfId="397" priority="53" stopIfTrue="1">
      <formula>AND(#REF!&lt;&gt;"COMPOSICAO",#REF!&lt;&gt;"INSUMO",#REF!&lt;&gt;"")</formula>
    </cfRule>
    <cfRule type="expression" dxfId="396" priority="54" stopIfTrue="1">
      <formula>AND(OR(#REF!="COMPOSICAO",#REF!="INSUMO",#REF!&lt;&gt;""),#REF!&lt;&gt;"")</formula>
    </cfRule>
  </conditionalFormatting>
  <conditionalFormatting sqref="C209:F209 F210">
    <cfRule type="expression" dxfId="395" priority="51" stopIfTrue="1">
      <formula>AND($A183&lt;&gt;"COMPOSICAO",$A183&lt;&gt;"INSUMO",$A183&lt;&gt;"")</formula>
    </cfRule>
    <cfRule type="expression" dxfId="394" priority="52" stopIfTrue="1">
      <formula>AND(OR($A183="COMPOSICAO",$A183="INSUMO",$A183&lt;&gt;""),$A183&lt;&gt;"")</formula>
    </cfRule>
  </conditionalFormatting>
  <conditionalFormatting sqref="B223:F223">
    <cfRule type="expression" dxfId="393" priority="47" stopIfTrue="1">
      <formula>AND($A193&lt;&gt;"COMPOSICAO",$A193&lt;&gt;"INSUMO",$A193&lt;&gt;"")</formula>
    </cfRule>
    <cfRule type="expression" dxfId="392" priority="48" stopIfTrue="1">
      <formula>AND(OR($A193="COMPOSICAO",$A193="INSUMO",$A193&lt;&gt;""),$A193&lt;&gt;"")</formula>
    </cfRule>
  </conditionalFormatting>
  <conditionalFormatting sqref="B228:B229">
    <cfRule type="expression" dxfId="391" priority="45" stopIfTrue="1">
      <formula>AND($A201&lt;&gt;"COMPOSICAO",$A201&lt;&gt;"INSUMO",$A201&lt;&gt;"")</formula>
    </cfRule>
    <cfRule type="expression" dxfId="390" priority="46" stopIfTrue="1">
      <formula>AND(OR($A201="COMPOSICAO",$A201="INSUMO",$A201&lt;&gt;""),$A201&lt;&gt;"")</formula>
    </cfRule>
  </conditionalFormatting>
  <conditionalFormatting sqref="B221:F221">
    <cfRule type="expression" dxfId="389" priority="43" stopIfTrue="1">
      <formula>AND(#REF!&lt;&gt;"COMPOSICAO",#REF!&lt;&gt;"INSUMO",#REF!&lt;&gt;"")</formula>
    </cfRule>
    <cfRule type="expression" dxfId="388" priority="44" stopIfTrue="1">
      <formula>AND(OR(#REF!="COMPOSICAO",#REF!="INSUMO",#REF!&lt;&gt;""),#REF!&lt;&gt;"")</formula>
    </cfRule>
  </conditionalFormatting>
  <conditionalFormatting sqref="B225:F225 B229:F229 F230">
    <cfRule type="expression" dxfId="387" priority="39" stopIfTrue="1">
      <formula>AND(#REF!&lt;&gt;"COMPOSICAO",#REF!&lt;&gt;"INSUMO",#REF!&lt;&gt;"")</formula>
    </cfRule>
    <cfRule type="expression" dxfId="386" priority="40" stopIfTrue="1">
      <formula>AND(OR(#REF!="COMPOSICAO",#REF!="INSUMO",#REF!&lt;&gt;""),#REF!&lt;&gt;"")</formula>
    </cfRule>
  </conditionalFormatting>
  <conditionalFormatting sqref="B224:F224">
    <cfRule type="expression" dxfId="385" priority="41" stopIfTrue="1">
      <formula>AND($A193&lt;&gt;"COMPOSICAO",$A193&lt;&gt;"INSUMO",$A193&lt;&gt;"")</formula>
    </cfRule>
    <cfRule type="expression" dxfId="384" priority="42" stopIfTrue="1">
      <formula>AND(OR($A193="COMPOSICAO",$A193="INSUMO",$A193&lt;&gt;""),$A193&lt;&gt;"")</formula>
    </cfRule>
  </conditionalFormatting>
  <conditionalFormatting sqref="C228:F229 F230">
    <cfRule type="expression" dxfId="383" priority="37" stopIfTrue="1">
      <formula>AND($A202&lt;&gt;"COMPOSICAO",$A202&lt;&gt;"INSUMO",$A202&lt;&gt;"")</formula>
    </cfRule>
    <cfRule type="expression" dxfId="382" priority="38" stopIfTrue="1">
      <formula>AND(OR($A202="COMPOSICAO",$A202="INSUMO",$A202&lt;&gt;""),$A202&lt;&gt;"")</formula>
    </cfRule>
  </conditionalFormatting>
  <conditionalFormatting sqref="B222:F222">
    <cfRule type="expression" dxfId="381" priority="49" stopIfTrue="1">
      <formula>AND(#REF!&lt;&gt;"COMPOSICAO",#REF!&lt;&gt;"INSUMO",#REF!&lt;&gt;"")</formula>
    </cfRule>
    <cfRule type="expression" dxfId="380" priority="50" stopIfTrue="1">
      <formula>AND(OR(#REF!="COMPOSICAO",#REF!="INSUMO",#REF!&lt;&gt;""),#REF!&lt;&gt;"")</formula>
    </cfRule>
  </conditionalFormatting>
  <conditionalFormatting sqref="B175:E175">
    <cfRule type="expression" dxfId="379" priority="35" stopIfTrue="1">
      <formula>AND($A152&lt;&gt;"COMPOSICAO",$A152&lt;&gt;"INSUMO",$A152&lt;&gt;"")</formula>
    </cfRule>
    <cfRule type="expression" dxfId="378" priority="36" stopIfTrue="1">
      <formula>AND(OR($A152="COMPOSICAO",$A152="INSUMO",$A152&lt;&gt;""),$A152&lt;&gt;"")</formula>
    </cfRule>
  </conditionalFormatting>
  <conditionalFormatting sqref="B189:E189">
    <cfRule type="expression" dxfId="377" priority="33" stopIfTrue="1">
      <formula>AND($A166&lt;&gt;"COMPOSICAO",$A166&lt;&gt;"INSUMO",$A166&lt;&gt;"")</formula>
    </cfRule>
    <cfRule type="expression" dxfId="376" priority="34" stopIfTrue="1">
      <formula>AND(OR($A166="COMPOSICAO",$A166="INSUMO",$A166&lt;&gt;""),$A166&lt;&gt;"")</formula>
    </cfRule>
  </conditionalFormatting>
  <conditionalFormatting sqref="B203:E203">
    <cfRule type="expression" dxfId="375" priority="31" stopIfTrue="1">
      <formula>AND($A180&lt;&gt;"COMPOSICAO",$A180&lt;&gt;"INSUMO",$A180&lt;&gt;"")</formula>
    </cfRule>
    <cfRule type="expression" dxfId="374" priority="32" stopIfTrue="1">
      <formula>AND(OR($A180="COMPOSICAO",$A180="INSUMO",$A180&lt;&gt;""),$A180&lt;&gt;"")</formula>
    </cfRule>
  </conditionalFormatting>
  <conditionalFormatting sqref="B210:E210">
    <cfRule type="expression" dxfId="373" priority="29" stopIfTrue="1">
      <formula>AND($A187&lt;&gt;"COMPOSICAO",$A187&lt;&gt;"INSUMO",$A187&lt;&gt;"")</formula>
    </cfRule>
    <cfRule type="expression" dxfId="372" priority="30" stopIfTrue="1">
      <formula>AND(OR($A187="COMPOSICAO",$A187="INSUMO",$A187&lt;&gt;""),$A187&lt;&gt;"")</formula>
    </cfRule>
  </conditionalFormatting>
  <conditionalFormatting sqref="B230:E230">
    <cfRule type="expression" dxfId="371" priority="27" stopIfTrue="1">
      <formula>AND($A207&lt;&gt;"COMPOSICAO",$A207&lt;&gt;"INSUMO",$A207&lt;&gt;"")</formula>
    </cfRule>
    <cfRule type="expression" dxfId="370" priority="28" stopIfTrue="1">
      <formula>AND(OR($A207="COMPOSICAO",$A207="INSUMO",$A207&lt;&gt;""),$A207&lt;&gt;"")</formula>
    </cfRule>
  </conditionalFormatting>
  <conditionalFormatting sqref="B237:F237">
    <cfRule type="expression" dxfId="369" priority="23" stopIfTrue="1">
      <formula>AND($A207&lt;&gt;"COMPOSICAO",$A207&lt;&gt;"INSUMO",$A207&lt;&gt;"")</formula>
    </cfRule>
    <cfRule type="expression" dxfId="368" priority="24" stopIfTrue="1">
      <formula>AND(OR($A207="COMPOSICAO",$A207="INSUMO",$A207&lt;&gt;""),$A207&lt;&gt;"")</formula>
    </cfRule>
  </conditionalFormatting>
  <conditionalFormatting sqref="B242:B243">
    <cfRule type="expression" dxfId="367" priority="21" stopIfTrue="1">
      <formula>AND($A215&lt;&gt;"COMPOSICAO",$A215&lt;&gt;"INSUMO",$A215&lt;&gt;"")</formula>
    </cfRule>
    <cfRule type="expression" dxfId="366" priority="22" stopIfTrue="1">
      <formula>AND(OR($A215="COMPOSICAO",$A215="INSUMO",$A215&lt;&gt;""),$A215&lt;&gt;"")</formula>
    </cfRule>
  </conditionalFormatting>
  <conditionalFormatting sqref="B235:F235">
    <cfRule type="expression" dxfId="365" priority="19" stopIfTrue="1">
      <formula>AND(#REF!&lt;&gt;"COMPOSICAO",#REF!&lt;&gt;"INSUMO",#REF!&lt;&gt;"")</formula>
    </cfRule>
    <cfRule type="expression" dxfId="364" priority="20" stopIfTrue="1">
      <formula>AND(OR(#REF!="COMPOSICAO",#REF!="INSUMO",#REF!&lt;&gt;""),#REF!&lt;&gt;"")</formula>
    </cfRule>
  </conditionalFormatting>
  <conditionalFormatting sqref="B239:F239 B243:F243 F244">
    <cfRule type="expression" dxfId="363" priority="15" stopIfTrue="1">
      <formula>AND(#REF!&lt;&gt;"COMPOSICAO",#REF!&lt;&gt;"INSUMO",#REF!&lt;&gt;"")</formula>
    </cfRule>
    <cfRule type="expression" dxfId="362" priority="16" stopIfTrue="1">
      <formula>AND(OR(#REF!="COMPOSICAO",#REF!="INSUMO",#REF!&lt;&gt;""),#REF!&lt;&gt;"")</formula>
    </cfRule>
  </conditionalFormatting>
  <conditionalFormatting sqref="B238:F238">
    <cfRule type="expression" dxfId="361" priority="17" stopIfTrue="1">
      <formula>AND($A207&lt;&gt;"COMPOSICAO",$A207&lt;&gt;"INSUMO",$A207&lt;&gt;"")</formula>
    </cfRule>
    <cfRule type="expression" dxfId="360" priority="18" stopIfTrue="1">
      <formula>AND(OR($A207="COMPOSICAO",$A207="INSUMO",$A207&lt;&gt;""),$A207&lt;&gt;"")</formula>
    </cfRule>
  </conditionalFormatting>
  <conditionalFormatting sqref="C242:F243 F244">
    <cfRule type="expression" dxfId="359" priority="13" stopIfTrue="1">
      <formula>AND($A216&lt;&gt;"COMPOSICAO",$A216&lt;&gt;"INSUMO",$A216&lt;&gt;"")</formula>
    </cfRule>
    <cfRule type="expression" dxfId="358" priority="14" stopIfTrue="1">
      <formula>AND(OR($A216="COMPOSICAO",$A216="INSUMO",$A216&lt;&gt;""),$A216&lt;&gt;"")</formula>
    </cfRule>
  </conditionalFormatting>
  <conditionalFormatting sqref="B236:F236">
    <cfRule type="expression" dxfId="357" priority="25" stopIfTrue="1">
      <formula>AND(#REF!&lt;&gt;"COMPOSICAO",#REF!&lt;&gt;"INSUMO",#REF!&lt;&gt;"")</formula>
    </cfRule>
    <cfRule type="expression" dxfId="356" priority="26" stopIfTrue="1">
      <formula>AND(OR(#REF!="COMPOSICAO",#REF!="INSUMO",#REF!&lt;&gt;""),#REF!&lt;&gt;"")</formula>
    </cfRule>
  </conditionalFormatting>
  <conditionalFormatting sqref="B244:E244">
    <cfRule type="expression" dxfId="355" priority="11" stopIfTrue="1">
      <formula>AND($A221&lt;&gt;"COMPOSICAO",$A221&lt;&gt;"INSUMO",$A221&lt;&gt;"")</formula>
    </cfRule>
    <cfRule type="expression" dxfId="354" priority="12" stopIfTrue="1">
      <formula>AND(OR($A221="COMPOSICAO",$A221="INSUMO",$A221&lt;&gt;""),$A221&lt;&gt;"")</formula>
    </cfRule>
  </conditionalFormatting>
  <conditionalFormatting sqref="B249:E249">
    <cfRule type="expression" dxfId="353" priority="9" stopIfTrue="1">
      <formula>AND($A226&lt;&gt;"COMPOSICAO",$A226&lt;&gt;"INSUMO",$A226&lt;&gt;"")</formula>
    </cfRule>
    <cfRule type="expression" dxfId="352" priority="10" stopIfTrue="1">
      <formula>AND(OR($A226="COMPOSICAO",$A226="INSUMO",$A226&lt;&gt;""),$A226&lt;&gt;"")</formula>
    </cfRule>
  </conditionalFormatting>
  <conditionalFormatting sqref="B260:E260">
    <cfRule type="expression" dxfId="351" priority="7" stopIfTrue="1">
      <formula>AND($A237&lt;&gt;"COMPOSICAO",$A237&lt;&gt;"INSUMO",$A237&lt;&gt;"")</formula>
    </cfRule>
    <cfRule type="expression" dxfId="350" priority="8" stopIfTrue="1">
      <formula>AND(OR($A237="COMPOSICAO",$A237="INSUMO",$A237&lt;&gt;""),$A237&lt;&gt;"")</formula>
    </cfRule>
  </conditionalFormatting>
  <conditionalFormatting sqref="C271:E271">
    <cfRule type="expression" dxfId="349" priority="5" stopIfTrue="1">
      <formula>AND($A248&lt;&gt;"COMPOSICAO",$A248&lt;&gt;"INSUMO",$A248&lt;&gt;"")</formula>
    </cfRule>
    <cfRule type="expression" dxfId="348" priority="6" stopIfTrue="1">
      <formula>AND(OR($A248="COMPOSICAO",$A248="INSUMO",$A248&lt;&gt;""),$A248&lt;&gt;"")</formula>
    </cfRule>
  </conditionalFormatting>
  <conditionalFormatting sqref="C282:E282">
    <cfRule type="expression" dxfId="347" priority="3" stopIfTrue="1">
      <formula>AND($A259&lt;&gt;"COMPOSICAO",$A259&lt;&gt;"INSUMO",$A259&lt;&gt;"")</formula>
    </cfRule>
    <cfRule type="expression" dxfId="346" priority="4" stopIfTrue="1">
      <formula>AND(OR($A259="COMPOSICAO",$A259="INSUMO",$A259&lt;&gt;""),$A259&lt;&gt;"")</formula>
    </cfRule>
  </conditionalFormatting>
  <conditionalFormatting sqref="C293:E293">
    <cfRule type="expression" dxfId="345" priority="1" stopIfTrue="1">
      <formula>AND($A270&lt;&gt;"COMPOSICAO",$A270&lt;&gt;"INSUMO",$A270&lt;&gt;"")</formula>
    </cfRule>
    <cfRule type="expression" dxfId="344" priority="2" stopIfTrue="1">
      <formula>AND(OR($A270="COMPOSICAO",$A270="INSUMO",$A270&lt;&gt;""),$A270&lt;&gt;"")</formula>
    </cfRule>
  </conditionalFormatting>
  <pageMargins left="0.511811024" right="0.511811024" top="0.78740157499999996" bottom="0.78740157499999996" header="0.31496062000000002" footer="0.31496062000000002"/>
  <pageSetup paperSize="9" scale="69" fitToHeight="0" orientation="portrait" r:id="rId1"/>
  <ignoredErrors>
    <ignoredError sqref="R34:R36 T34:T36"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R214"/>
  <sheetViews>
    <sheetView zoomScaleNormal="100" zoomScaleSheetLayoutView="100" workbookViewId="0">
      <selection activeCell="B8" sqref="B8:H8"/>
    </sheetView>
  </sheetViews>
  <sheetFormatPr defaultColWidth="9.140625" defaultRowHeight="12.75" x14ac:dyDescent="0.25"/>
  <cols>
    <col min="1" max="1" width="9.140625" style="15"/>
    <col min="2" max="2" width="14.28515625" style="15" customWidth="1"/>
    <col min="3" max="3" width="12.7109375" style="37" customWidth="1"/>
    <col min="4" max="4" width="60.5703125" style="15" customWidth="1"/>
    <col min="5" max="5" width="9.140625" style="15"/>
    <col min="6" max="6" width="11.85546875" style="15" customWidth="1"/>
    <col min="7" max="7" width="12" style="196" customWidth="1"/>
    <col min="8" max="8" width="13.7109375" style="196" customWidth="1"/>
    <col min="9" max="9" width="4" style="15" customWidth="1"/>
    <col min="10" max="10" width="9.42578125" style="15" customWidth="1"/>
    <col min="11" max="11" width="11.85546875" style="15" bestFit="1" customWidth="1"/>
    <col min="12" max="12" width="67.42578125" style="15" customWidth="1"/>
    <col min="13" max="13" width="14.85546875" style="15" bestFit="1" customWidth="1"/>
    <col min="14" max="14" width="18" style="15" bestFit="1" customWidth="1"/>
    <col min="15" max="15" width="14.42578125" style="15" customWidth="1"/>
    <col min="16" max="16" width="14.85546875" style="15" bestFit="1" customWidth="1"/>
    <col min="17" max="17" width="18" style="15" bestFit="1" customWidth="1"/>
    <col min="18" max="18" width="13.42578125" style="15" customWidth="1"/>
    <col min="19" max="16384" width="9.140625" style="15"/>
  </cols>
  <sheetData>
    <row r="3" spans="2:18" ht="90" customHeight="1" x14ac:dyDescent="0.25">
      <c r="B3" s="526" t="str">
        <f>'PLANILHA ORÇAMENTÁRIA'!B3</f>
        <v>PREFEITURA MUNICIPAL DE ARIPUANÃ - MT
DEPARTAMENTO DE ENGENHARIA CIVIL
Praça São Francisco de Assis, 128, Caixa Postal 91 – CEP 78.325-000, 
Aripuanã – MT, Fone : (66) 3565 – 3900
www.aripuana.mt.gov.br</v>
      </c>
      <c r="C3" s="526"/>
      <c r="D3" s="526"/>
      <c r="E3" s="526"/>
      <c r="F3" s="526"/>
      <c r="G3" s="526"/>
      <c r="H3" s="526"/>
    </row>
    <row r="4" spans="2:18" ht="13.15" customHeight="1" x14ac:dyDescent="0.25">
      <c r="B4" s="355" t="str">
        <f>'PMA ESQ'!B4</f>
        <v>OBRA:</v>
      </c>
      <c r="C4" s="538" t="str">
        <f>'PMA ESQ'!C4:D4</f>
        <v>RECONSTRUÇÃO DA UNIDADE BÁSICA DE SAÚDE DO DISTRITO DE CONSELVAN</v>
      </c>
      <c r="D4" s="538"/>
      <c r="E4" s="538"/>
      <c r="F4" s="539" t="str">
        <f>'PMA CIV'!F4</f>
        <v>Coordenadas: 9°55'38"S 59°54'55"W</v>
      </c>
      <c r="G4" s="539"/>
      <c r="H4" s="539"/>
    </row>
    <row r="5" spans="2:18" ht="13.5" customHeight="1" x14ac:dyDescent="0.25">
      <c r="B5" s="53" t="str">
        <f>'PMA ESQ'!B5</f>
        <v>LOCAL:</v>
      </c>
      <c r="C5" s="538" t="str">
        <f>'PMA ESQ'!C5:D5</f>
        <v>RUA GUARANTÃ, S/N, DISTRITO DE CONSELVAN, ARIPUANÃ - MT</v>
      </c>
      <c r="D5" s="538"/>
      <c r="E5" s="538"/>
      <c r="F5" s="539"/>
      <c r="G5" s="539"/>
      <c r="H5" s="539"/>
    </row>
    <row r="6" spans="2:18" x14ac:dyDescent="0.25">
      <c r="B6" s="53" t="str">
        <f>'PMA ESQ'!B6</f>
        <v>PROP.:</v>
      </c>
      <c r="C6" s="531" t="str">
        <f>'PMA ESQ'!C6:D6</f>
        <v>PREFEITURA MUNICIPAL DE ARIPUANÃ</v>
      </c>
      <c r="D6" s="532"/>
      <c r="E6" s="54" t="s">
        <v>44</v>
      </c>
      <c r="F6" s="297">
        <f>'MEMO CÁLCULO'!G7</f>
        <v>45020</v>
      </c>
      <c r="G6" s="193" t="s">
        <v>45</v>
      </c>
      <c r="H6" s="356">
        <f>BDI!D20</f>
        <v>0.27860000000000001</v>
      </c>
    </row>
    <row r="7" spans="2:18" x14ac:dyDescent="0.25">
      <c r="B7" s="53" t="str">
        <f>'PMA ESQ'!B7</f>
        <v>VALOR:</v>
      </c>
      <c r="C7" s="549">
        <f>'PLANILHA ORÇAMENTÁRIA'!C7</f>
        <v>3496715.07</v>
      </c>
      <c r="D7" s="550"/>
      <c r="E7" s="81" t="s">
        <v>264</v>
      </c>
      <c r="F7" s="551" t="str">
        <f>'PLANILHA ORÇAMENTÁRIA'!H6</f>
        <v xml:space="preserve">REF.: SINAPI FEV/2023 (DESONERADA)                                      </v>
      </c>
      <c r="G7" s="552"/>
      <c r="H7" s="553"/>
    </row>
    <row r="8" spans="2:18" ht="20.100000000000001" customHeight="1" thickBot="1" x14ac:dyDescent="0.3">
      <c r="B8" s="607" t="s">
        <v>46</v>
      </c>
      <c r="C8" s="607"/>
      <c r="D8" s="607"/>
      <c r="E8" s="607"/>
      <c r="F8" s="607"/>
      <c r="G8" s="607"/>
      <c r="H8" s="607"/>
    </row>
    <row r="9" spans="2:18" ht="13.5" thickTop="1" x14ac:dyDescent="0.25">
      <c r="B9" s="530" t="s">
        <v>489</v>
      </c>
      <c r="C9" s="554" t="s">
        <v>313</v>
      </c>
      <c r="D9" s="530"/>
      <c r="E9" s="530"/>
      <c r="F9" s="530"/>
      <c r="G9" s="530"/>
      <c r="H9" s="182" t="s">
        <v>36</v>
      </c>
    </row>
    <row r="10" spans="2:18" x14ac:dyDescent="0.25">
      <c r="B10" s="523"/>
      <c r="C10" s="57" t="s">
        <v>233</v>
      </c>
      <c r="D10" s="57" t="s">
        <v>234</v>
      </c>
      <c r="E10" s="57" t="s">
        <v>47</v>
      </c>
      <c r="F10" s="57" t="s">
        <v>37</v>
      </c>
      <c r="G10" s="58" t="s">
        <v>48</v>
      </c>
      <c r="H10" s="58" t="s">
        <v>235</v>
      </c>
    </row>
    <row r="11" spans="2:18" x14ac:dyDescent="0.25">
      <c r="B11" s="27" t="s">
        <v>49</v>
      </c>
      <c r="C11" s="27">
        <v>3146</v>
      </c>
      <c r="D11" s="25" t="s">
        <v>308</v>
      </c>
      <c r="E11" s="27" t="s">
        <v>309</v>
      </c>
      <c r="F11" s="27">
        <v>2.1000000000000001E-2</v>
      </c>
      <c r="G11" s="62">
        <v>4.5</v>
      </c>
      <c r="H11" s="62">
        <f>G11*F11</f>
        <v>0.09</v>
      </c>
      <c r="I11" s="28"/>
      <c r="J11" s="28"/>
      <c r="O11" s="28"/>
      <c r="P11" s="28"/>
      <c r="Q11" s="28"/>
      <c r="R11" s="28"/>
    </row>
    <row r="12" spans="2:18" ht="25.5" x14ac:dyDescent="0.25">
      <c r="B12" s="27" t="s">
        <v>49</v>
      </c>
      <c r="C12" s="27">
        <v>36796</v>
      </c>
      <c r="D12" s="25" t="s">
        <v>311</v>
      </c>
      <c r="E12" s="27" t="s">
        <v>309</v>
      </c>
      <c r="F12" s="27">
        <v>1</v>
      </c>
      <c r="G12" s="62">
        <v>149.91999999999999</v>
      </c>
      <c r="H12" s="62">
        <f>G12*F12</f>
        <v>149.91999999999999</v>
      </c>
    </row>
    <row r="13" spans="2:18" ht="25.5" x14ac:dyDescent="0.25">
      <c r="B13" s="27" t="s">
        <v>50</v>
      </c>
      <c r="C13" s="27">
        <v>88267</v>
      </c>
      <c r="D13" s="25" t="s">
        <v>310</v>
      </c>
      <c r="E13" s="27" t="s">
        <v>54</v>
      </c>
      <c r="F13" s="27">
        <v>9.6000000000000002E-2</v>
      </c>
      <c r="G13" s="62">
        <v>21.66</v>
      </c>
      <c r="H13" s="62">
        <f>G13*F13</f>
        <v>2.08</v>
      </c>
    </row>
    <row r="14" spans="2:18" x14ac:dyDescent="0.25">
      <c r="B14" s="27" t="s">
        <v>50</v>
      </c>
      <c r="C14" s="27">
        <v>88316</v>
      </c>
      <c r="D14" s="25" t="s">
        <v>255</v>
      </c>
      <c r="E14" s="27" t="s">
        <v>54</v>
      </c>
      <c r="F14" s="27">
        <v>3.0300000000000001E-2</v>
      </c>
      <c r="G14" s="62">
        <v>17.420000000000002</v>
      </c>
      <c r="H14" s="62">
        <f>G14*F14</f>
        <v>0.53</v>
      </c>
    </row>
    <row r="15" spans="2:18" x14ac:dyDescent="0.25">
      <c r="B15" s="524" t="s">
        <v>312</v>
      </c>
      <c r="C15" s="524"/>
      <c r="D15" s="524"/>
      <c r="E15" s="161"/>
      <c r="F15" s="161"/>
      <c r="G15" s="160" t="s">
        <v>5</v>
      </c>
      <c r="H15" s="194">
        <f>SUM(H11:H14)</f>
        <v>152.62</v>
      </c>
      <c r="J15" s="15" t="s">
        <v>975</v>
      </c>
    </row>
    <row r="16" spans="2:18" x14ac:dyDescent="0.25">
      <c r="B16" s="522"/>
      <c r="C16" s="522"/>
      <c r="D16" s="522"/>
      <c r="E16" s="522"/>
      <c r="F16" s="522"/>
      <c r="G16" s="522"/>
      <c r="H16" s="522"/>
    </row>
    <row r="17" spans="2:10" x14ac:dyDescent="0.25">
      <c r="B17" s="523" t="s">
        <v>490</v>
      </c>
      <c r="C17" s="540" t="s">
        <v>327</v>
      </c>
      <c r="D17" s="523"/>
      <c r="E17" s="523"/>
      <c r="F17" s="523"/>
      <c r="G17" s="523"/>
      <c r="H17" s="96" t="s">
        <v>36</v>
      </c>
    </row>
    <row r="18" spans="2:10" x14ac:dyDescent="0.25">
      <c r="B18" s="523"/>
      <c r="C18" s="57" t="s">
        <v>233</v>
      </c>
      <c r="D18" s="57" t="s">
        <v>234</v>
      </c>
      <c r="E18" s="57" t="s">
        <v>47</v>
      </c>
      <c r="F18" s="57" t="s">
        <v>37</v>
      </c>
      <c r="G18" s="58" t="s">
        <v>48</v>
      </c>
      <c r="H18" s="58" t="s">
        <v>235</v>
      </c>
    </row>
    <row r="19" spans="2:10" x14ac:dyDescent="0.25">
      <c r="B19" s="27" t="s">
        <v>49</v>
      </c>
      <c r="C19" s="27">
        <v>3146</v>
      </c>
      <c r="D19" s="25" t="s">
        <v>308</v>
      </c>
      <c r="E19" s="27" t="s">
        <v>309</v>
      </c>
      <c r="F19" s="27">
        <v>2.1000000000000001E-2</v>
      </c>
      <c r="G19" s="62">
        <f>G11</f>
        <v>4.5</v>
      </c>
      <c r="H19" s="62">
        <f>G19*F19</f>
        <v>0.09</v>
      </c>
    </row>
    <row r="20" spans="2:10" ht="25.5" x14ac:dyDescent="0.25">
      <c r="B20" s="21" t="s">
        <v>49</v>
      </c>
      <c r="C20" s="21" t="str">
        <f>COTAÇÕES!C72</f>
        <v>COT 022</v>
      </c>
      <c r="D20" s="51" t="s">
        <v>326</v>
      </c>
      <c r="E20" s="21" t="s">
        <v>309</v>
      </c>
      <c r="F20" s="21">
        <v>1</v>
      </c>
      <c r="G20" s="68">
        <f>COTAÇÕES!J72</f>
        <v>210.37</v>
      </c>
      <c r="H20" s="68">
        <f>G20*F20</f>
        <v>210.37</v>
      </c>
      <c r="J20" s="15" t="s">
        <v>324</v>
      </c>
    </row>
    <row r="21" spans="2:10" ht="25.5" x14ac:dyDescent="0.25">
      <c r="B21" s="27" t="s">
        <v>296</v>
      </c>
      <c r="C21" s="27">
        <v>88267</v>
      </c>
      <c r="D21" s="25" t="s">
        <v>310</v>
      </c>
      <c r="E21" s="27" t="s">
        <v>54</v>
      </c>
      <c r="F21" s="27">
        <v>0.64529999999999998</v>
      </c>
      <c r="G21" s="62">
        <f>G13</f>
        <v>21.66</v>
      </c>
      <c r="H21" s="62">
        <f>G21*F21</f>
        <v>13.98</v>
      </c>
    </row>
    <row r="22" spans="2:10" x14ac:dyDescent="0.25">
      <c r="B22" s="27" t="s">
        <v>296</v>
      </c>
      <c r="C22" s="27">
        <v>88316</v>
      </c>
      <c r="D22" s="25" t="s">
        <v>255</v>
      </c>
      <c r="E22" s="27" t="s">
        <v>54</v>
      </c>
      <c r="F22" s="27">
        <v>0.20330000000000001</v>
      </c>
      <c r="G22" s="62">
        <f>G14</f>
        <v>17.420000000000002</v>
      </c>
      <c r="H22" s="62">
        <f>G22*F22</f>
        <v>3.54</v>
      </c>
    </row>
    <row r="23" spans="2:10" x14ac:dyDescent="0.25">
      <c r="B23" s="524" t="s">
        <v>317</v>
      </c>
      <c r="C23" s="524"/>
      <c r="D23" s="524"/>
      <c r="E23" s="161"/>
      <c r="F23" s="161"/>
      <c r="G23" s="160" t="s">
        <v>5</v>
      </c>
      <c r="H23" s="194">
        <f>SUM(H19:H22)</f>
        <v>227.98</v>
      </c>
      <c r="J23" s="15" t="s">
        <v>975</v>
      </c>
    </row>
    <row r="24" spans="2:10" x14ac:dyDescent="0.25">
      <c r="B24" s="522"/>
      <c r="C24" s="522"/>
      <c r="D24" s="522"/>
      <c r="E24" s="522"/>
      <c r="F24" s="522"/>
      <c r="G24" s="522"/>
      <c r="H24" s="522"/>
    </row>
    <row r="25" spans="2:10" x14ac:dyDescent="0.25">
      <c r="B25" s="523" t="s">
        <v>491</v>
      </c>
      <c r="C25" s="540" t="s">
        <v>329</v>
      </c>
      <c r="D25" s="523"/>
      <c r="E25" s="523"/>
      <c r="F25" s="523"/>
      <c r="G25" s="523"/>
      <c r="H25" s="96" t="s">
        <v>36</v>
      </c>
    </row>
    <row r="26" spans="2:10" x14ac:dyDescent="0.25">
      <c r="B26" s="523"/>
      <c r="C26" s="57" t="s">
        <v>233</v>
      </c>
      <c r="D26" s="57" t="s">
        <v>234</v>
      </c>
      <c r="E26" s="57" t="s">
        <v>47</v>
      </c>
      <c r="F26" s="57" t="s">
        <v>37</v>
      </c>
      <c r="G26" s="58" t="s">
        <v>48</v>
      </c>
      <c r="H26" s="58" t="s">
        <v>235</v>
      </c>
    </row>
    <row r="27" spans="2:10" x14ac:dyDescent="0.25">
      <c r="B27" s="27" t="s">
        <v>49</v>
      </c>
      <c r="C27" s="27">
        <v>3146</v>
      </c>
      <c r="D27" s="25" t="s">
        <v>308</v>
      </c>
      <c r="E27" s="27" t="s">
        <v>309</v>
      </c>
      <c r="F27" s="27">
        <v>1</v>
      </c>
      <c r="G27" s="62">
        <f>G19</f>
        <v>4.5</v>
      </c>
      <c r="H27" s="62">
        <f>G27*F27</f>
        <v>4.5</v>
      </c>
    </row>
    <row r="28" spans="2:10" ht="25.5" x14ac:dyDescent="0.25">
      <c r="B28" s="21" t="s">
        <v>49</v>
      </c>
      <c r="C28" s="21">
        <v>11762</v>
      </c>
      <c r="D28" s="51" t="s">
        <v>321</v>
      </c>
      <c r="E28" s="21" t="s">
        <v>309</v>
      </c>
      <c r="F28" s="21">
        <v>1</v>
      </c>
      <c r="G28" s="68">
        <v>59.96</v>
      </c>
      <c r="H28" s="68">
        <f>G28*F28</f>
        <v>59.96</v>
      </c>
    </row>
    <row r="29" spans="2:10" ht="25.5" x14ac:dyDescent="0.25">
      <c r="B29" s="27" t="s">
        <v>296</v>
      </c>
      <c r="C29" s="27">
        <v>88267</v>
      </c>
      <c r="D29" s="25" t="s">
        <v>310</v>
      </c>
      <c r="E29" s="27" t="s">
        <v>54</v>
      </c>
      <c r="F29" s="27">
        <v>0.25</v>
      </c>
      <c r="G29" s="62">
        <f>G21</f>
        <v>21.66</v>
      </c>
      <c r="H29" s="62">
        <f>G29*F29</f>
        <v>5.42</v>
      </c>
    </row>
    <row r="30" spans="2:10" ht="25.5" x14ac:dyDescent="0.25">
      <c r="B30" s="27" t="s">
        <v>296</v>
      </c>
      <c r="C30" s="27">
        <v>88248</v>
      </c>
      <c r="D30" s="25" t="s">
        <v>320</v>
      </c>
      <c r="E30" s="27" t="s">
        <v>54</v>
      </c>
      <c r="F30" s="27">
        <v>0.5</v>
      </c>
      <c r="G30" s="62">
        <f>G22</f>
        <v>17.420000000000002</v>
      </c>
      <c r="H30" s="62">
        <f>G30*F30</f>
        <v>8.7100000000000009</v>
      </c>
    </row>
    <row r="31" spans="2:10" x14ac:dyDescent="0.25">
      <c r="B31" s="524" t="s">
        <v>319</v>
      </c>
      <c r="C31" s="524"/>
      <c r="D31" s="524"/>
      <c r="E31" s="161"/>
      <c r="F31" s="161"/>
      <c r="G31" s="160" t="s">
        <v>5</v>
      </c>
      <c r="H31" s="194">
        <f>SUM(H27:H30)</f>
        <v>78.59</v>
      </c>
      <c r="J31" s="15" t="s">
        <v>975</v>
      </c>
    </row>
    <row r="32" spans="2:10" x14ac:dyDescent="0.25">
      <c r="B32" s="522"/>
      <c r="C32" s="522"/>
      <c r="D32" s="522"/>
      <c r="E32" s="522"/>
      <c r="F32" s="522"/>
      <c r="G32" s="522"/>
      <c r="H32" s="522"/>
    </row>
    <row r="33" spans="2:10" x14ac:dyDescent="0.25">
      <c r="B33" s="523" t="s">
        <v>492</v>
      </c>
      <c r="C33" s="540" t="s">
        <v>330</v>
      </c>
      <c r="D33" s="523"/>
      <c r="E33" s="523"/>
      <c r="F33" s="523"/>
      <c r="G33" s="523"/>
      <c r="H33" s="96" t="s">
        <v>36</v>
      </c>
    </row>
    <row r="34" spans="2:10" x14ac:dyDescent="0.25">
      <c r="B34" s="523"/>
      <c r="C34" s="57" t="s">
        <v>233</v>
      </c>
      <c r="D34" s="57" t="s">
        <v>234</v>
      </c>
      <c r="E34" s="57" t="s">
        <v>47</v>
      </c>
      <c r="F34" s="57" t="s">
        <v>37</v>
      </c>
      <c r="G34" s="58" t="s">
        <v>48</v>
      </c>
      <c r="H34" s="58" t="s">
        <v>235</v>
      </c>
    </row>
    <row r="35" spans="2:10" x14ac:dyDescent="0.25">
      <c r="B35" s="27" t="s">
        <v>49</v>
      </c>
      <c r="C35" s="27">
        <v>3146</v>
      </c>
      <c r="D35" s="25" t="s">
        <v>308</v>
      </c>
      <c r="E35" s="27" t="s">
        <v>309</v>
      </c>
      <c r="F35" s="101">
        <v>2.1000000000000001E-2</v>
      </c>
      <c r="G35" s="62">
        <f>G27</f>
        <v>4.5</v>
      </c>
      <c r="H35" s="62">
        <f>G35*F35</f>
        <v>0.09</v>
      </c>
    </row>
    <row r="36" spans="2:10" ht="25.5" x14ac:dyDescent="0.25">
      <c r="B36" s="21" t="s">
        <v>49</v>
      </c>
      <c r="C36" s="21" t="str">
        <f>COTAÇÕES!C75</f>
        <v>COT 023</v>
      </c>
      <c r="D36" s="51" t="s">
        <v>325</v>
      </c>
      <c r="E36" s="21" t="s">
        <v>309</v>
      </c>
      <c r="F36" s="102">
        <v>1</v>
      </c>
      <c r="G36" s="68">
        <f>COTAÇÕES!J75</f>
        <v>127.07</v>
      </c>
      <c r="H36" s="68">
        <f>G36*F36</f>
        <v>127.07</v>
      </c>
      <c r="J36" s="15" t="str">
        <f>J20</f>
        <v>COTAÇÃO</v>
      </c>
    </row>
    <row r="37" spans="2:10" ht="25.5" x14ac:dyDescent="0.25">
      <c r="B37" s="27" t="s">
        <v>296</v>
      </c>
      <c r="C37" s="27">
        <v>88267</v>
      </c>
      <c r="D37" s="25" t="s">
        <v>310</v>
      </c>
      <c r="E37" s="27" t="s">
        <v>54</v>
      </c>
      <c r="F37" s="101">
        <v>0.1164</v>
      </c>
      <c r="G37" s="62">
        <f>G29</f>
        <v>21.66</v>
      </c>
      <c r="H37" s="62">
        <f>G37*F37</f>
        <v>2.52</v>
      </c>
    </row>
    <row r="38" spans="2:10" x14ac:dyDescent="0.25">
      <c r="B38" s="27" t="s">
        <v>296</v>
      </c>
      <c r="C38" s="27">
        <v>88316</v>
      </c>
      <c r="D38" s="25" t="s">
        <v>255</v>
      </c>
      <c r="E38" s="27" t="s">
        <v>54</v>
      </c>
      <c r="F38" s="101">
        <v>3.6700000000000003E-2</v>
      </c>
      <c r="G38" s="62">
        <f>G30</f>
        <v>17.420000000000002</v>
      </c>
      <c r="H38" s="62">
        <f>G38*F38</f>
        <v>0.64</v>
      </c>
    </row>
    <row r="39" spans="2:10" x14ac:dyDescent="0.25">
      <c r="B39" s="524" t="s">
        <v>322</v>
      </c>
      <c r="C39" s="524"/>
      <c r="D39" s="524"/>
      <c r="E39" s="161"/>
      <c r="F39" s="161"/>
      <c r="G39" s="160" t="s">
        <v>5</v>
      </c>
      <c r="H39" s="194">
        <f>SUM(H35:H38)</f>
        <v>130.32</v>
      </c>
      <c r="J39" s="15" t="s">
        <v>975</v>
      </c>
    </row>
    <row r="40" spans="2:10" x14ac:dyDescent="0.25">
      <c r="B40" s="522"/>
      <c r="C40" s="522"/>
      <c r="D40" s="522"/>
      <c r="E40" s="522"/>
      <c r="F40" s="522"/>
      <c r="G40" s="522"/>
      <c r="H40" s="522"/>
    </row>
    <row r="41" spans="2:10" x14ac:dyDescent="0.25">
      <c r="B41" s="523" t="s">
        <v>493</v>
      </c>
      <c r="C41" s="540" t="s">
        <v>338</v>
      </c>
      <c r="D41" s="523"/>
      <c r="E41" s="523"/>
      <c r="F41" s="523"/>
      <c r="G41" s="523"/>
      <c r="H41" s="96" t="s">
        <v>36</v>
      </c>
    </row>
    <row r="42" spans="2:10" x14ac:dyDescent="0.25">
      <c r="B42" s="523"/>
      <c r="C42" s="57" t="s">
        <v>233</v>
      </c>
      <c r="D42" s="57" t="s">
        <v>234</v>
      </c>
      <c r="E42" s="57" t="s">
        <v>47</v>
      </c>
      <c r="F42" s="57" t="s">
        <v>37</v>
      </c>
      <c r="G42" s="58" t="s">
        <v>48</v>
      </c>
      <c r="H42" s="58" t="s">
        <v>235</v>
      </c>
    </row>
    <row r="43" spans="2:10" ht="38.25" x14ac:dyDescent="0.25">
      <c r="B43" s="27" t="s">
        <v>49</v>
      </c>
      <c r="C43" s="27">
        <v>4351</v>
      </c>
      <c r="D43" s="25" t="s">
        <v>343</v>
      </c>
      <c r="E43" s="27" t="s">
        <v>309</v>
      </c>
      <c r="F43" s="27">
        <v>6</v>
      </c>
      <c r="G43" s="62">
        <v>17.79</v>
      </c>
      <c r="H43" s="62">
        <f>G43*F43</f>
        <v>106.74</v>
      </c>
    </row>
    <row r="44" spans="2:10" ht="25.5" x14ac:dyDescent="0.25">
      <c r="B44" s="21" t="s">
        <v>49</v>
      </c>
      <c r="C44" s="21" t="str">
        <f>COTAÇÕES!C78</f>
        <v>COT 024</v>
      </c>
      <c r="D44" s="51" t="s">
        <v>345</v>
      </c>
      <c r="E44" s="27" t="s">
        <v>309</v>
      </c>
      <c r="F44" s="27">
        <v>1</v>
      </c>
      <c r="G44" s="62">
        <f>COTAÇÕES!J78</f>
        <v>805.05</v>
      </c>
      <c r="H44" s="62">
        <f>G44*F44</f>
        <v>805.05</v>
      </c>
      <c r="J44" s="15" t="s">
        <v>324</v>
      </c>
    </row>
    <row r="45" spans="2:10" ht="25.5" x14ac:dyDescent="0.25">
      <c r="B45" s="27" t="s">
        <v>296</v>
      </c>
      <c r="C45" s="27">
        <v>88267</v>
      </c>
      <c r="D45" s="25" t="s">
        <v>310</v>
      </c>
      <c r="E45" s="27" t="s">
        <v>54</v>
      </c>
      <c r="F45" s="27">
        <v>0.94850000000000001</v>
      </c>
      <c r="G45" s="62">
        <f>G37</f>
        <v>21.66</v>
      </c>
      <c r="H45" s="62">
        <f>G45*F45</f>
        <v>20.54</v>
      </c>
    </row>
    <row r="46" spans="2:10" x14ac:dyDescent="0.25">
      <c r="B46" s="27" t="s">
        <v>296</v>
      </c>
      <c r="C46" s="27">
        <v>88316</v>
      </c>
      <c r="D46" s="25" t="s">
        <v>255</v>
      </c>
      <c r="E46" s="27" t="s">
        <v>54</v>
      </c>
      <c r="F46" s="27">
        <v>0.29880000000000001</v>
      </c>
      <c r="G46" s="62">
        <f>G38</f>
        <v>17.420000000000002</v>
      </c>
      <c r="H46" s="62">
        <f>G46*F46</f>
        <v>5.21</v>
      </c>
    </row>
    <row r="47" spans="2:10" x14ac:dyDescent="0.25">
      <c r="B47" s="524" t="s">
        <v>344</v>
      </c>
      <c r="C47" s="524"/>
      <c r="D47" s="524"/>
      <c r="E47" s="161"/>
      <c r="F47" s="161"/>
      <c r="G47" s="160" t="s">
        <v>5</v>
      </c>
      <c r="H47" s="194">
        <f>SUM(H43:H46)</f>
        <v>937.54</v>
      </c>
      <c r="J47" s="15" t="s">
        <v>975</v>
      </c>
    </row>
    <row r="48" spans="2:10" x14ac:dyDescent="0.25">
      <c r="B48" s="522"/>
      <c r="C48" s="522"/>
      <c r="D48" s="522"/>
      <c r="E48" s="522"/>
      <c r="F48" s="522"/>
      <c r="G48" s="522"/>
      <c r="H48" s="522"/>
    </row>
    <row r="49" spans="2:10" x14ac:dyDescent="0.25">
      <c r="B49" s="523" t="s">
        <v>494</v>
      </c>
      <c r="C49" s="540" t="s">
        <v>982</v>
      </c>
      <c r="D49" s="523"/>
      <c r="E49" s="523"/>
      <c r="F49" s="523"/>
      <c r="G49" s="523"/>
      <c r="H49" s="96" t="s">
        <v>36</v>
      </c>
    </row>
    <row r="50" spans="2:10" x14ac:dyDescent="0.25">
      <c r="B50" s="523"/>
      <c r="C50" s="57" t="s">
        <v>233</v>
      </c>
      <c r="D50" s="57" t="s">
        <v>234</v>
      </c>
      <c r="E50" s="57" t="s">
        <v>47</v>
      </c>
      <c r="F50" s="57" t="s">
        <v>37</v>
      </c>
      <c r="G50" s="58" t="s">
        <v>48</v>
      </c>
      <c r="H50" s="58" t="s">
        <v>235</v>
      </c>
    </row>
    <row r="51" spans="2:10" ht="25.5" x14ac:dyDescent="0.25">
      <c r="B51" s="27" t="s">
        <v>49</v>
      </c>
      <c r="C51" s="27">
        <v>1368</v>
      </c>
      <c r="D51" s="25" t="s">
        <v>968</v>
      </c>
      <c r="E51" s="27" t="s">
        <v>309</v>
      </c>
      <c r="F51" s="27">
        <v>1</v>
      </c>
      <c r="G51" s="62">
        <v>83.83</v>
      </c>
      <c r="H51" s="62">
        <f>G51*F51</f>
        <v>83.83</v>
      </c>
    </row>
    <row r="52" spans="2:10" x14ac:dyDescent="0.25">
      <c r="B52" s="21" t="s">
        <v>49</v>
      </c>
      <c r="C52" s="21">
        <v>3146</v>
      </c>
      <c r="D52" s="51" t="s">
        <v>308</v>
      </c>
      <c r="E52" s="27" t="s">
        <v>309</v>
      </c>
      <c r="F52" s="27">
        <v>2.1000000000000001E-2</v>
      </c>
      <c r="G52" s="62">
        <f>G35</f>
        <v>4.5</v>
      </c>
      <c r="H52" s="62">
        <f>G52*F52</f>
        <v>0.09</v>
      </c>
    </row>
    <row r="53" spans="2:10" ht="25.5" x14ac:dyDescent="0.25">
      <c r="B53" s="27" t="s">
        <v>296</v>
      </c>
      <c r="C53" s="27">
        <v>88267</v>
      </c>
      <c r="D53" s="25" t="s">
        <v>310</v>
      </c>
      <c r="E53" s="27" t="s">
        <v>54</v>
      </c>
      <c r="F53" s="27">
        <v>0.44669999999999999</v>
      </c>
      <c r="G53" s="62">
        <f>G45</f>
        <v>21.66</v>
      </c>
      <c r="H53" s="62">
        <f>G53*F53</f>
        <v>9.68</v>
      </c>
    </row>
    <row r="54" spans="2:10" x14ac:dyDescent="0.25">
      <c r="B54" s="27" t="s">
        <v>296</v>
      </c>
      <c r="C54" s="27">
        <v>88316</v>
      </c>
      <c r="D54" s="25" t="s">
        <v>255</v>
      </c>
      <c r="E54" s="27" t="s">
        <v>54</v>
      </c>
      <c r="F54" s="27">
        <v>0.14069999999999999</v>
      </c>
      <c r="G54" s="62">
        <f>G46</f>
        <v>17.420000000000002</v>
      </c>
      <c r="H54" s="62">
        <f>G54*F54</f>
        <v>2.4500000000000002</v>
      </c>
    </row>
    <row r="55" spans="2:10" x14ac:dyDescent="0.25">
      <c r="B55" s="524" t="s">
        <v>346</v>
      </c>
      <c r="C55" s="524"/>
      <c r="D55" s="524"/>
      <c r="E55" s="161"/>
      <c r="F55" s="161"/>
      <c r="G55" s="160" t="s">
        <v>5</v>
      </c>
      <c r="H55" s="194">
        <f>SUM(H51:H54)</f>
        <v>96.05</v>
      </c>
      <c r="J55" s="15" t="s">
        <v>975</v>
      </c>
    </row>
    <row r="56" spans="2:10" x14ac:dyDescent="0.25">
      <c r="B56" s="522"/>
      <c r="C56" s="522"/>
      <c r="D56" s="522"/>
      <c r="E56" s="522"/>
      <c r="F56" s="522"/>
      <c r="G56" s="522"/>
      <c r="H56" s="522"/>
    </row>
    <row r="57" spans="2:10" ht="25.9" customHeight="1" x14ac:dyDescent="0.25">
      <c r="B57" s="523" t="s">
        <v>495</v>
      </c>
      <c r="C57" s="523" t="s">
        <v>983</v>
      </c>
      <c r="D57" s="523"/>
      <c r="E57" s="523"/>
      <c r="F57" s="523"/>
      <c r="G57" s="523"/>
      <c r="H57" s="96" t="s">
        <v>36</v>
      </c>
    </row>
    <row r="58" spans="2:10" x14ac:dyDescent="0.25">
      <c r="B58" s="523"/>
      <c r="C58" s="57" t="s">
        <v>233</v>
      </c>
      <c r="D58" s="57" t="s">
        <v>234</v>
      </c>
      <c r="E58" s="57" t="s">
        <v>47</v>
      </c>
      <c r="F58" s="57" t="s">
        <v>37</v>
      </c>
      <c r="G58" s="58" t="s">
        <v>48</v>
      </c>
      <c r="H58" s="58" t="s">
        <v>235</v>
      </c>
    </row>
    <row r="59" spans="2:10" x14ac:dyDescent="0.25">
      <c r="B59" s="27" t="s">
        <v>49</v>
      </c>
      <c r="C59" s="59">
        <v>122</v>
      </c>
      <c r="D59" s="60" t="s">
        <v>348</v>
      </c>
      <c r="E59" s="59" t="s">
        <v>309</v>
      </c>
      <c r="F59" s="61">
        <v>4.8999999999999998E-3</v>
      </c>
      <c r="G59" s="62">
        <v>76.17</v>
      </c>
      <c r="H59" s="62">
        <f t="shared" ref="H59:H64" si="0">G59*F59</f>
        <v>0.37</v>
      </c>
    </row>
    <row r="60" spans="2:10" ht="25.5" x14ac:dyDescent="0.25">
      <c r="B60" s="27" t="s">
        <v>49</v>
      </c>
      <c r="C60" s="65">
        <v>11745</v>
      </c>
      <c r="D60" s="66" t="s">
        <v>969</v>
      </c>
      <c r="E60" s="59" t="s">
        <v>309</v>
      </c>
      <c r="F60" s="61">
        <v>1</v>
      </c>
      <c r="G60" s="62">
        <v>18.54</v>
      </c>
      <c r="H60" s="62">
        <f t="shared" si="0"/>
        <v>18.54</v>
      </c>
    </row>
    <row r="61" spans="2:10" x14ac:dyDescent="0.25">
      <c r="B61" s="27" t="s">
        <v>49</v>
      </c>
      <c r="C61" s="59">
        <v>20083</v>
      </c>
      <c r="D61" s="60" t="s">
        <v>349</v>
      </c>
      <c r="E61" s="59" t="s">
        <v>309</v>
      </c>
      <c r="F61" s="61">
        <v>7.4999999999999997E-3</v>
      </c>
      <c r="G61" s="62">
        <v>86.3</v>
      </c>
      <c r="H61" s="62">
        <f t="shared" si="0"/>
        <v>0.65</v>
      </c>
    </row>
    <row r="62" spans="2:10" x14ac:dyDescent="0.25">
      <c r="B62" s="27" t="s">
        <v>49</v>
      </c>
      <c r="C62" s="59">
        <v>38383</v>
      </c>
      <c r="D62" s="60" t="s">
        <v>350</v>
      </c>
      <c r="E62" s="59" t="s">
        <v>309</v>
      </c>
      <c r="F62" s="61">
        <v>1.7000000000000001E-2</v>
      </c>
      <c r="G62" s="62">
        <v>2.71</v>
      </c>
      <c r="H62" s="62">
        <f t="shared" si="0"/>
        <v>0.05</v>
      </c>
    </row>
    <row r="63" spans="2:10" ht="25.5" x14ac:dyDescent="0.25">
      <c r="B63" s="27" t="s">
        <v>50</v>
      </c>
      <c r="C63" s="59">
        <v>88248</v>
      </c>
      <c r="D63" s="60" t="s">
        <v>351</v>
      </c>
      <c r="E63" s="59" t="s">
        <v>54</v>
      </c>
      <c r="F63" s="61">
        <v>7.0000000000000007E-2</v>
      </c>
      <c r="G63" s="62">
        <v>17.87</v>
      </c>
      <c r="H63" s="62">
        <f t="shared" si="0"/>
        <v>1.25</v>
      </c>
    </row>
    <row r="64" spans="2:10" ht="25.5" x14ac:dyDescent="0.25">
      <c r="B64" s="27" t="s">
        <v>50</v>
      </c>
      <c r="C64" s="59">
        <v>88267</v>
      </c>
      <c r="D64" s="60" t="s">
        <v>310</v>
      </c>
      <c r="E64" s="59" t="s">
        <v>54</v>
      </c>
      <c r="F64" s="61">
        <v>7.0000000000000007E-2</v>
      </c>
      <c r="G64" s="62">
        <f>G53</f>
        <v>21.66</v>
      </c>
      <c r="H64" s="62">
        <f t="shared" si="0"/>
        <v>1.52</v>
      </c>
    </row>
    <row r="65" spans="2:10" x14ac:dyDescent="0.25">
      <c r="B65" s="524" t="s">
        <v>352</v>
      </c>
      <c r="C65" s="524"/>
      <c r="D65" s="524"/>
      <c r="E65" s="161"/>
      <c r="F65" s="161"/>
      <c r="G65" s="160" t="s">
        <v>5</v>
      </c>
      <c r="H65" s="194">
        <f>SUM(H59:H64)</f>
        <v>22.38</v>
      </c>
      <c r="J65" s="15" t="s">
        <v>975</v>
      </c>
    </row>
    <row r="66" spans="2:10" x14ac:dyDescent="0.25">
      <c r="B66" s="522"/>
      <c r="C66" s="522"/>
      <c r="D66" s="522"/>
      <c r="E66" s="522"/>
      <c r="F66" s="522"/>
      <c r="G66" s="522"/>
      <c r="H66" s="522"/>
    </row>
    <row r="67" spans="2:10" x14ac:dyDescent="0.25">
      <c r="B67" s="523" t="s">
        <v>496</v>
      </c>
      <c r="C67" s="540" t="s">
        <v>371</v>
      </c>
      <c r="D67" s="523"/>
      <c r="E67" s="523"/>
      <c r="F67" s="523"/>
      <c r="G67" s="523"/>
      <c r="H67" s="96" t="s">
        <v>36</v>
      </c>
    </row>
    <row r="68" spans="2:10" x14ac:dyDescent="0.25">
      <c r="B68" s="523"/>
      <c r="C68" s="57" t="s">
        <v>233</v>
      </c>
      <c r="D68" s="57" t="s">
        <v>234</v>
      </c>
      <c r="E68" s="57" t="s">
        <v>47</v>
      </c>
      <c r="F68" s="57" t="s">
        <v>37</v>
      </c>
      <c r="G68" s="58" t="s">
        <v>48</v>
      </c>
      <c r="H68" s="58" t="s">
        <v>235</v>
      </c>
    </row>
    <row r="69" spans="2:10" ht="25.5" x14ac:dyDescent="0.25">
      <c r="B69" s="59" t="s">
        <v>49</v>
      </c>
      <c r="C69" s="59">
        <v>38643</v>
      </c>
      <c r="D69" s="60" t="s">
        <v>376</v>
      </c>
      <c r="E69" s="59" t="s">
        <v>36</v>
      </c>
      <c r="F69" s="59">
        <v>1</v>
      </c>
      <c r="G69" s="62">
        <v>51.66</v>
      </c>
      <c r="H69" s="62">
        <f t="shared" ref="H69:H74" si="1">G69*F69</f>
        <v>51.66</v>
      </c>
    </row>
    <row r="70" spans="2:10" x14ac:dyDescent="0.25">
      <c r="B70" s="59" t="s">
        <v>49</v>
      </c>
      <c r="C70" s="59">
        <v>6136</v>
      </c>
      <c r="D70" s="60" t="s">
        <v>377</v>
      </c>
      <c r="E70" s="59" t="s">
        <v>36</v>
      </c>
      <c r="F70" s="59">
        <v>1</v>
      </c>
      <c r="G70" s="62">
        <v>206.64</v>
      </c>
      <c r="H70" s="62">
        <f t="shared" si="1"/>
        <v>206.64</v>
      </c>
    </row>
    <row r="71" spans="2:10" ht="25.5" x14ac:dyDescent="0.25">
      <c r="B71" s="59" t="s">
        <v>49</v>
      </c>
      <c r="C71" s="59">
        <v>1745</v>
      </c>
      <c r="D71" s="60" t="s">
        <v>386</v>
      </c>
      <c r="E71" s="59" t="s">
        <v>248</v>
      </c>
      <c r="F71" s="59">
        <v>1.5</v>
      </c>
      <c r="G71" s="62">
        <v>353.06</v>
      </c>
      <c r="H71" s="62">
        <f t="shared" si="1"/>
        <v>529.59</v>
      </c>
    </row>
    <row r="72" spans="2:10" ht="25.5" x14ac:dyDescent="0.25">
      <c r="B72" s="59" t="s">
        <v>296</v>
      </c>
      <c r="C72" s="59">
        <v>88267</v>
      </c>
      <c r="D72" s="60" t="s">
        <v>310</v>
      </c>
      <c r="E72" s="59" t="s">
        <v>54</v>
      </c>
      <c r="F72" s="59">
        <v>2</v>
      </c>
      <c r="G72" s="62">
        <f>G64</f>
        <v>21.66</v>
      </c>
      <c r="H72" s="62">
        <f t="shared" si="1"/>
        <v>43.32</v>
      </c>
    </row>
    <row r="73" spans="2:10" x14ac:dyDescent="0.25">
      <c r="B73" s="59" t="s">
        <v>296</v>
      </c>
      <c r="C73" s="59">
        <v>88309</v>
      </c>
      <c r="D73" s="60" t="s">
        <v>281</v>
      </c>
      <c r="E73" s="59" t="s">
        <v>54</v>
      </c>
      <c r="F73" s="59">
        <v>1.7</v>
      </c>
      <c r="G73" s="62">
        <v>21.83</v>
      </c>
      <c r="H73" s="62">
        <f t="shared" si="1"/>
        <v>37.11</v>
      </c>
    </row>
    <row r="74" spans="2:10" x14ac:dyDescent="0.25">
      <c r="B74" s="59" t="s">
        <v>296</v>
      </c>
      <c r="C74" s="59">
        <v>88316</v>
      </c>
      <c r="D74" s="60" t="s">
        <v>255</v>
      </c>
      <c r="E74" s="59" t="s">
        <v>54</v>
      </c>
      <c r="F74" s="59">
        <v>1.7</v>
      </c>
      <c r="G74" s="62">
        <f>G54</f>
        <v>17.420000000000002</v>
      </c>
      <c r="H74" s="62">
        <f t="shared" si="1"/>
        <v>29.61</v>
      </c>
    </row>
    <row r="75" spans="2:10" x14ac:dyDescent="0.25">
      <c r="B75" s="524" t="s">
        <v>375</v>
      </c>
      <c r="C75" s="524"/>
      <c r="D75" s="524"/>
      <c r="E75" s="161"/>
      <c r="F75" s="161"/>
      <c r="G75" s="160" t="s">
        <v>5</v>
      </c>
      <c r="H75" s="194">
        <f>SUM(H69:H74)</f>
        <v>897.93</v>
      </c>
      <c r="J75" s="15" t="s">
        <v>975</v>
      </c>
    </row>
    <row r="76" spans="2:10" x14ac:dyDescent="0.25">
      <c r="B76" s="522"/>
      <c r="C76" s="522"/>
      <c r="D76" s="522"/>
      <c r="E76" s="522"/>
      <c r="F76" s="522"/>
      <c r="G76" s="522"/>
      <c r="H76" s="522"/>
    </row>
    <row r="77" spans="2:10" ht="24.75" customHeight="1" x14ac:dyDescent="0.25">
      <c r="B77" s="523" t="s">
        <v>497</v>
      </c>
      <c r="C77" s="540" t="s">
        <v>397</v>
      </c>
      <c r="D77" s="523"/>
      <c r="E77" s="523"/>
      <c r="F77" s="523"/>
      <c r="G77" s="523"/>
      <c r="H77" s="96" t="s">
        <v>248</v>
      </c>
    </row>
    <row r="78" spans="2:10" x14ac:dyDescent="0.25">
      <c r="B78" s="523"/>
      <c r="C78" s="57" t="s">
        <v>233</v>
      </c>
      <c r="D78" s="57" t="s">
        <v>234</v>
      </c>
      <c r="E78" s="57" t="s">
        <v>47</v>
      </c>
      <c r="F78" s="57" t="s">
        <v>37</v>
      </c>
      <c r="G78" s="58" t="s">
        <v>48</v>
      </c>
      <c r="H78" s="58" t="s">
        <v>235</v>
      </c>
    </row>
    <row r="79" spans="2:10" ht="25.5" x14ac:dyDescent="0.25">
      <c r="B79" s="59" t="s">
        <v>49</v>
      </c>
      <c r="C79" s="59">
        <v>11689</v>
      </c>
      <c r="D79" s="60" t="s">
        <v>380</v>
      </c>
      <c r="E79" s="59" t="s">
        <v>248</v>
      </c>
      <c r="F79" s="59">
        <v>1</v>
      </c>
      <c r="G79" s="62">
        <v>1647.06</v>
      </c>
      <c r="H79" s="62">
        <f>G79*F79</f>
        <v>1647.06</v>
      </c>
    </row>
    <row r="80" spans="2:10" ht="25.5" x14ac:dyDescent="0.25">
      <c r="B80" s="59" t="s">
        <v>49</v>
      </c>
      <c r="C80" s="59">
        <v>37591</v>
      </c>
      <c r="D80" s="60" t="s">
        <v>970</v>
      </c>
      <c r="E80" s="59" t="s">
        <v>309</v>
      </c>
      <c r="F80" s="59">
        <v>2</v>
      </c>
      <c r="G80" s="62">
        <v>27</v>
      </c>
      <c r="H80" s="62">
        <f t="shared" ref="H80:H81" si="2">G80*F80</f>
        <v>54</v>
      </c>
    </row>
    <row r="81" spans="2:10" x14ac:dyDescent="0.25">
      <c r="B81" s="59" t="s">
        <v>296</v>
      </c>
      <c r="C81" s="59">
        <v>88309</v>
      </c>
      <c r="D81" s="60" t="s">
        <v>281</v>
      </c>
      <c r="E81" s="59" t="s">
        <v>54</v>
      </c>
      <c r="F81" s="59">
        <v>2</v>
      </c>
      <c r="G81" s="62">
        <f>G73</f>
        <v>21.83</v>
      </c>
      <c r="H81" s="62">
        <f t="shared" si="2"/>
        <v>43.66</v>
      </c>
    </row>
    <row r="82" spans="2:10" x14ac:dyDescent="0.25">
      <c r="B82" s="59" t="s">
        <v>296</v>
      </c>
      <c r="C82" s="59">
        <v>88316</v>
      </c>
      <c r="D82" s="60" t="s">
        <v>255</v>
      </c>
      <c r="E82" s="59" t="s">
        <v>54</v>
      </c>
      <c r="F82" s="59">
        <v>2</v>
      </c>
      <c r="G82" s="62">
        <f>G74</f>
        <v>17.420000000000002</v>
      </c>
      <c r="H82" s="62">
        <f>G82*F82</f>
        <v>34.840000000000003</v>
      </c>
    </row>
    <row r="83" spans="2:10" x14ac:dyDescent="0.25">
      <c r="B83" s="545"/>
      <c r="C83" s="545"/>
      <c r="D83" s="545"/>
      <c r="E83" s="156"/>
      <c r="F83" s="546" t="s">
        <v>395</v>
      </c>
      <c r="G83" s="546"/>
      <c r="H83" s="195">
        <f>SUM(H79:H82)</f>
        <v>1779.56</v>
      </c>
    </row>
    <row r="84" spans="2:10" x14ac:dyDescent="0.25">
      <c r="B84" s="540" t="s">
        <v>379</v>
      </c>
      <c r="C84" s="540"/>
      <c r="D84" s="540"/>
      <c r="E84" s="540"/>
      <c r="F84" s="540"/>
      <c r="G84" s="540"/>
      <c r="H84" s="96" t="s">
        <v>36</v>
      </c>
    </row>
    <row r="85" spans="2:10" ht="38.25" x14ac:dyDescent="0.25">
      <c r="B85" s="59" t="s">
        <v>296</v>
      </c>
      <c r="C85" s="59" t="str">
        <f>B77</f>
        <v>PMA HID 009</v>
      </c>
      <c r="D85" s="158" t="s">
        <v>397</v>
      </c>
      <c r="E85" s="59" t="s">
        <v>248</v>
      </c>
      <c r="F85" s="59">
        <f>3.38+2.64</f>
        <v>6.02</v>
      </c>
      <c r="G85" s="62">
        <f>H83</f>
        <v>1779.56</v>
      </c>
      <c r="H85" s="62">
        <f>G85*F85</f>
        <v>10712.95</v>
      </c>
    </row>
    <row r="86" spans="2:10" x14ac:dyDescent="0.25">
      <c r="B86" s="524" t="s">
        <v>378</v>
      </c>
      <c r="C86" s="524"/>
      <c r="D86" s="524"/>
      <c r="E86" s="161"/>
      <c r="F86" s="161"/>
      <c r="G86" s="160" t="s">
        <v>5</v>
      </c>
      <c r="H86" s="194">
        <f>SUM(H85:H85)</f>
        <v>10712.95</v>
      </c>
      <c r="J86" s="15" t="s">
        <v>975</v>
      </c>
    </row>
    <row r="87" spans="2:10" x14ac:dyDescent="0.25">
      <c r="B87" s="522"/>
      <c r="C87" s="522"/>
      <c r="D87" s="522"/>
      <c r="E87" s="522"/>
      <c r="F87" s="522"/>
      <c r="G87" s="522"/>
      <c r="H87" s="522"/>
    </row>
    <row r="88" spans="2:10" x14ac:dyDescent="0.25">
      <c r="B88" s="523" t="s">
        <v>498</v>
      </c>
      <c r="C88" s="540" t="s">
        <v>396</v>
      </c>
      <c r="D88" s="523"/>
      <c r="E88" s="523"/>
      <c r="F88" s="523"/>
      <c r="G88" s="523"/>
      <c r="H88" s="96" t="s">
        <v>248</v>
      </c>
    </row>
    <row r="89" spans="2:10" x14ac:dyDescent="0.25">
      <c r="B89" s="523"/>
      <c r="C89" s="57" t="s">
        <v>233</v>
      </c>
      <c r="D89" s="57" t="s">
        <v>234</v>
      </c>
      <c r="E89" s="57" t="s">
        <v>47</v>
      </c>
      <c r="F89" s="57" t="s">
        <v>37</v>
      </c>
      <c r="G89" s="58" t="s">
        <v>48</v>
      </c>
      <c r="H89" s="58" t="s">
        <v>235</v>
      </c>
    </row>
    <row r="90" spans="2:10" ht="25.5" x14ac:dyDescent="0.25">
      <c r="B90" s="59" t="s">
        <v>49</v>
      </c>
      <c r="C90" s="59">
        <v>11687</v>
      </c>
      <c r="D90" s="60" t="s">
        <v>374</v>
      </c>
      <c r="E90" s="59" t="s">
        <v>248</v>
      </c>
      <c r="F90" s="59">
        <v>1</v>
      </c>
      <c r="G90" s="62">
        <v>1314.55</v>
      </c>
      <c r="H90" s="62">
        <f>G90*F90</f>
        <v>1314.55</v>
      </c>
    </row>
    <row r="91" spans="2:10" ht="25.5" x14ac:dyDescent="0.25">
      <c r="B91" s="59" t="s">
        <v>49</v>
      </c>
      <c r="C91" s="59">
        <v>37591</v>
      </c>
      <c r="D91" s="60" t="s">
        <v>970</v>
      </c>
      <c r="E91" s="59" t="s">
        <v>309</v>
      </c>
      <c r="F91" s="59">
        <v>2</v>
      </c>
      <c r="G91" s="62">
        <f>G80</f>
        <v>27</v>
      </c>
      <c r="H91" s="62">
        <f t="shared" ref="H91" si="3">G91*F91</f>
        <v>54</v>
      </c>
    </row>
    <row r="92" spans="2:10" x14ac:dyDescent="0.25">
      <c r="B92" s="59" t="s">
        <v>296</v>
      </c>
      <c r="C92" s="59">
        <v>88309</v>
      </c>
      <c r="D92" s="60" t="s">
        <v>281</v>
      </c>
      <c r="E92" s="59" t="s">
        <v>54</v>
      </c>
      <c r="F92" s="59">
        <v>2</v>
      </c>
      <c r="G92" s="62">
        <f>G81</f>
        <v>21.83</v>
      </c>
      <c r="H92" s="62">
        <f>G92*F92</f>
        <v>43.66</v>
      </c>
    </row>
    <row r="93" spans="2:10" x14ac:dyDescent="0.25">
      <c r="B93" s="59" t="s">
        <v>296</v>
      </c>
      <c r="C93" s="59">
        <v>88316</v>
      </c>
      <c r="D93" s="60" t="s">
        <v>255</v>
      </c>
      <c r="E93" s="59" t="s">
        <v>54</v>
      </c>
      <c r="F93" s="59">
        <v>2</v>
      </c>
      <c r="G93" s="62">
        <f>G82</f>
        <v>17.420000000000002</v>
      </c>
      <c r="H93" s="62">
        <f>G93*F93</f>
        <v>34.840000000000003</v>
      </c>
    </row>
    <row r="94" spans="2:10" x14ac:dyDescent="0.25">
      <c r="B94" s="545"/>
      <c r="C94" s="545"/>
      <c r="D94" s="545"/>
      <c r="E94" s="156"/>
      <c r="F94" s="546" t="s">
        <v>395</v>
      </c>
      <c r="G94" s="546"/>
      <c r="H94" s="195">
        <f>SUM(H90:H93)</f>
        <v>1447.05</v>
      </c>
    </row>
    <row r="95" spans="2:10" x14ac:dyDescent="0.25">
      <c r="B95" s="540" t="s">
        <v>383</v>
      </c>
      <c r="C95" s="540"/>
      <c r="D95" s="540"/>
      <c r="E95" s="540"/>
      <c r="F95" s="540"/>
      <c r="G95" s="540"/>
      <c r="H95" s="96" t="s">
        <v>36</v>
      </c>
    </row>
    <row r="96" spans="2:10" ht="38.25" x14ac:dyDescent="0.25">
      <c r="B96" s="59" t="s">
        <v>296</v>
      </c>
      <c r="C96" s="59" t="str">
        <f>B88</f>
        <v>PMA HID 010</v>
      </c>
      <c r="D96" s="158" t="s">
        <v>396</v>
      </c>
      <c r="E96" s="59" t="s">
        <v>248</v>
      </c>
      <c r="F96" s="59">
        <v>3.73</v>
      </c>
      <c r="G96" s="62">
        <f>H94</f>
        <v>1447.05</v>
      </c>
      <c r="H96" s="62">
        <f>G96*F96</f>
        <v>5397.5</v>
      </c>
    </row>
    <row r="97" spans="2:16" x14ac:dyDescent="0.25">
      <c r="B97" s="524" t="s">
        <v>382</v>
      </c>
      <c r="C97" s="524"/>
      <c r="D97" s="524"/>
      <c r="E97" s="161"/>
      <c r="F97" s="161"/>
      <c r="G97" s="160" t="s">
        <v>5</v>
      </c>
      <c r="H97" s="194">
        <f>SUM(H96:H96)</f>
        <v>5397.5</v>
      </c>
      <c r="J97" s="15" t="s">
        <v>975</v>
      </c>
    </row>
    <row r="98" spans="2:16" x14ac:dyDescent="0.25">
      <c r="B98" s="522"/>
      <c r="C98" s="522"/>
      <c r="D98" s="522"/>
      <c r="E98" s="522"/>
      <c r="F98" s="522"/>
      <c r="G98" s="522"/>
      <c r="H98" s="522"/>
    </row>
    <row r="99" spans="2:16" x14ac:dyDescent="0.25">
      <c r="B99" s="523" t="s">
        <v>499</v>
      </c>
      <c r="C99" s="540" t="s">
        <v>385</v>
      </c>
      <c r="D99" s="523"/>
      <c r="E99" s="523"/>
      <c r="F99" s="523"/>
      <c r="G99" s="523"/>
      <c r="H99" s="96" t="s">
        <v>36</v>
      </c>
    </row>
    <row r="100" spans="2:16" x14ac:dyDescent="0.25">
      <c r="B100" s="523"/>
      <c r="C100" s="57" t="s">
        <v>233</v>
      </c>
      <c r="D100" s="57" t="s">
        <v>234</v>
      </c>
      <c r="E100" s="57" t="s">
        <v>47</v>
      </c>
      <c r="F100" s="57" t="s">
        <v>37</v>
      </c>
      <c r="G100" s="58" t="s">
        <v>48</v>
      </c>
      <c r="H100" s="58" t="s">
        <v>235</v>
      </c>
    </row>
    <row r="101" spans="2:16" x14ac:dyDescent="0.25">
      <c r="B101" s="27" t="s">
        <v>49</v>
      </c>
      <c r="C101" s="21">
        <v>3146</v>
      </c>
      <c r="D101" s="51" t="s">
        <v>308</v>
      </c>
      <c r="E101" s="27" t="s">
        <v>248</v>
      </c>
      <c r="F101" s="82">
        <v>0.47</v>
      </c>
      <c r="G101" s="62">
        <f>G52</f>
        <v>4.5</v>
      </c>
      <c r="H101" s="62">
        <f t="shared" ref="H101:H106" si="4">G101*F101</f>
        <v>2.12</v>
      </c>
    </row>
    <row r="102" spans="2:16" ht="38.25" x14ac:dyDescent="0.25">
      <c r="B102" s="27" t="s">
        <v>49</v>
      </c>
      <c r="C102" s="21" t="str">
        <f>COTAÇÕES!C81</f>
        <v>COT 025</v>
      </c>
      <c r="D102" s="36" t="s">
        <v>384</v>
      </c>
      <c r="E102" s="27" t="s">
        <v>309</v>
      </c>
      <c r="F102" s="82">
        <v>1</v>
      </c>
      <c r="G102" s="62">
        <f>COTAÇÕES!J81</f>
        <v>1610.41</v>
      </c>
      <c r="H102" s="62">
        <f t="shared" si="4"/>
        <v>1610.41</v>
      </c>
      <c r="J102" s="15" t="s">
        <v>324</v>
      </c>
    </row>
    <row r="103" spans="2:16" x14ac:dyDescent="0.25">
      <c r="B103" s="27" t="s">
        <v>49</v>
      </c>
      <c r="C103" s="59">
        <v>6136</v>
      </c>
      <c r="D103" s="60" t="s">
        <v>377</v>
      </c>
      <c r="E103" s="59" t="s">
        <v>309</v>
      </c>
      <c r="F103" s="59">
        <v>1</v>
      </c>
      <c r="G103" s="62">
        <f>G70</f>
        <v>206.64</v>
      </c>
      <c r="H103" s="62">
        <f t="shared" si="4"/>
        <v>206.64</v>
      </c>
    </row>
    <row r="104" spans="2:16" ht="25.5" x14ac:dyDescent="0.25">
      <c r="B104" s="27" t="s">
        <v>49</v>
      </c>
      <c r="C104" s="59">
        <v>38643</v>
      </c>
      <c r="D104" s="60" t="s">
        <v>376</v>
      </c>
      <c r="E104" s="59" t="s">
        <v>309</v>
      </c>
      <c r="F104" s="59">
        <v>1</v>
      </c>
      <c r="G104" s="62">
        <f>G69</f>
        <v>51.66</v>
      </c>
      <c r="H104" s="62">
        <f t="shared" si="4"/>
        <v>51.66</v>
      </c>
    </row>
    <row r="105" spans="2:16" ht="25.5" x14ac:dyDescent="0.25">
      <c r="B105" s="27" t="s">
        <v>50</v>
      </c>
      <c r="C105" s="59">
        <v>88248</v>
      </c>
      <c r="D105" s="34" t="s">
        <v>388</v>
      </c>
      <c r="E105" s="27" t="s">
        <v>54</v>
      </c>
      <c r="F105" s="82">
        <v>2.5</v>
      </c>
      <c r="G105" s="62">
        <f>G63</f>
        <v>17.87</v>
      </c>
      <c r="H105" s="62">
        <f t="shared" si="4"/>
        <v>44.68</v>
      </c>
      <c r="L105" s="15" t="s">
        <v>434</v>
      </c>
      <c r="N105" s="37" t="s">
        <v>416</v>
      </c>
      <c r="O105" s="27" t="s">
        <v>418</v>
      </c>
      <c r="P105" s="27" t="s">
        <v>417</v>
      </c>
    </row>
    <row r="106" spans="2:16" ht="25.5" x14ac:dyDescent="0.25">
      <c r="B106" s="27" t="s">
        <v>50</v>
      </c>
      <c r="C106" s="59">
        <v>88267</v>
      </c>
      <c r="D106" s="34" t="s">
        <v>387</v>
      </c>
      <c r="E106" s="27" t="s">
        <v>54</v>
      </c>
      <c r="F106" s="82">
        <v>2.5</v>
      </c>
      <c r="G106" s="62">
        <f>G72</f>
        <v>21.66</v>
      </c>
      <c r="H106" s="62">
        <f t="shared" si="4"/>
        <v>54.15</v>
      </c>
      <c r="K106" s="89">
        <v>89357</v>
      </c>
      <c r="L106" s="90" t="s">
        <v>401</v>
      </c>
      <c r="M106" s="89" t="s">
        <v>248</v>
      </c>
      <c r="N106" s="91" t="s">
        <v>332</v>
      </c>
      <c r="O106" s="93">
        <f>((40-32)/32)+1</f>
        <v>1.25</v>
      </c>
      <c r="P106" s="93">
        <f>((50-32)/32)+1</f>
        <v>1.5625</v>
      </c>
    </row>
    <row r="107" spans="2:16" x14ac:dyDescent="0.25">
      <c r="B107" s="524" t="s">
        <v>389</v>
      </c>
      <c r="C107" s="524"/>
      <c r="D107" s="524"/>
      <c r="E107" s="161"/>
      <c r="F107" s="161"/>
      <c r="G107" s="160" t="s">
        <v>5</v>
      </c>
      <c r="H107" s="194">
        <f>SUM(H101:H106)</f>
        <v>1969.66</v>
      </c>
      <c r="J107" s="103" t="s">
        <v>975</v>
      </c>
      <c r="K107" s="59">
        <v>9869</v>
      </c>
      <c r="L107" s="60" t="s">
        <v>405</v>
      </c>
      <c r="M107" s="59" t="s">
        <v>248</v>
      </c>
      <c r="N107" s="59">
        <v>1.0609999999999999</v>
      </c>
      <c r="O107" s="69">
        <v>1.0609999999999999</v>
      </c>
      <c r="P107" s="69">
        <v>1.0609999999999999</v>
      </c>
    </row>
    <row r="108" spans="2:16" x14ac:dyDescent="0.25">
      <c r="B108" s="522"/>
      <c r="C108" s="522"/>
      <c r="D108" s="522"/>
      <c r="E108" s="522"/>
      <c r="F108" s="522"/>
      <c r="G108" s="522"/>
      <c r="H108" s="522"/>
      <c r="K108" s="59">
        <v>38383</v>
      </c>
      <c r="L108" s="60" t="s">
        <v>350</v>
      </c>
      <c r="M108" s="59" t="s">
        <v>309</v>
      </c>
      <c r="N108" s="59">
        <v>0.14699999999999999</v>
      </c>
      <c r="O108" s="69">
        <f>$O$106*N108</f>
        <v>0.18379999999999999</v>
      </c>
      <c r="P108" s="69">
        <f>$P$106*N108</f>
        <v>0.22969999999999999</v>
      </c>
    </row>
    <row r="109" spans="2:16" ht="25.5" x14ac:dyDescent="0.25">
      <c r="B109" s="523" t="s">
        <v>500</v>
      </c>
      <c r="C109" s="540" t="s">
        <v>398</v>
      </c>
      <c r="D109" s="523"/>
      <c r="E109" s="523"/>
      <c r="F109" s="523"/>
      <c r="G109" s="523"/>
      <c r="H109" s="96" t="s">
        <v>36</v>
      </c>
      <c r="K109" s="59">
        <v>88248</v>
      </c>
      <c r="L109" s="60" t="s">
        <v>351</v>
      </c>
      <c r="M109" s="59" t="s">
        <v>54</v>
      </c>
      <c r="N109" s="59">
        <v>0.44</v>
      </c>
      <c r="O109" s="69">
        <f>$O$106*N109</f>
        <v>0.55000000000000004</v>
      </c>
      <c r="P109" s="69">
        <f>$P$106*N109</f>
        <v>0.6875</v>
      </c>
    </row>
    <row r="110" spans="2:16" ht="25.5" x14ac:dyDescent="0.25">
      <c r="B110" s="523"/>
      <c r="C110" s="57" t="s">
        <v>233</v>
      </c>
      <c r="D110" s="57" t="s">
        <v>234</v>
      </c>
      <c r="E110" s="57" t="s">
        <v>47</v>
      </c>
      <c r="F110" s="57" t="s">
        <v>37</v>
      </c>
      <c r="G110" s="58" t="s">
        <v>48</v>
      </c>
      <c r="H110" s="58" t="s">
        <v>235</v>
      </c>
      <c r="K110" s="59">
        <v>88267</v>
      </c>
      <c r="L110" s="60" t="s">
        <v>310</v>
      </c>
      <c r="M110" s="59" t="s">
        <v>54</v>
      </c>
      <c r="N110" s="59">
        <v>0.44</v>
      </c>
      <c r="O110" s="69">
        <f>$O$106*N110</f>
        <v>0.55000000000000004</v>
      </c>
      <c r="P110" s="69">
        <f>$P$106*N110</f>
        <v>0.6875</v>
      </c>
    </row>
    <row r="111" spans="2:16" ht="38.25" x14ac:dyDescent="0.25">
      <c r="B111" s="27" t="s">
        <v>50</v>
      </c>
      <c r="C111" s="27">
        <v>86938</v>
      </c>
      <c r="D111" s="25" t="s">
        <v>394</v>
      </c>
      <c r="E111" s="27" t="s">
        <v>309</v>
      </c>
      <c r="F111" s="27">
        <v>2</v>
      </c>
      <c r="G111" s="62">
        <v>436.4</v>
      </c>
      <c r="H111" s="62">
        <f>G111*F111</f>
        <v>872.8</v>
      </c>
      <c r="O111" s="37"/>
      <c r="P111" s="37"/>
    </row>
    <row r="112" spans="2:16" ht="25.5" x14ac:dyDescent="0.25">
      <c r="B112" s="27" t="s">
        <v>50</v>
      </c>
      <c r="C112" s="27">
        <v>86884</v>
      </c>
      <c r="D112" s="25" t="s">
        <v>390</v>
      </c>
      <c r="E112" s="27" t="s">
        <v>309</v>
      </c>
      <c r="F112" s="27">
        <v>1</v>
      </c>
      <c r="G112" s="62">
        <v>10.87</v>
      </c>
      <c r="H112" s="62">
        <f>G112*F112</f>
        <v>10.87</v>
      </c>
      <c r="O112" s="37"/>
      <c r="P112" s="37"/>
    </row>
    <row r="113" spans="2:16" ht="25.5" x14ac:dyDescent="0.25">
      <c r="B113" s="27" t="s">
        <v>50</v>
      </c>
      <c r="C113" s="27">
        <v>86889</v>
      </c>
      <c r="D113" s="25" t="s">
        <v>391</v>
      </c>
      <c r="E113" s="27" t="s">
        <v>309</v>
      </c>
      <c r="F113" s="27">
        <v>1</v>
      </c>
      <c r="G113" s="62">
        <v>975.36</v>
      </c>
      <c r="H113" s="62">
        <f>G113*F113</f>
        <v>975.36</v>
      </c>
    </row>
    <row r="114" spans="2:16" x14ac:dyDescent="0.25">
      <c r="B114" s="524" t="s">
        <v>393</v>
      </c>
      <c r="C114" s="524"/>
      <c r="D114" s="524"/>
      <c r="E114" s="161"/>
      <c r="F114" s="161"/>
      <c r="G114" s="160" t="s">
        <v>5</v>
      </c>
      <c r="H114" s="194">
        <f>SUM(H110:H113)</f>
        <v>1859.03</v>
      </c>
      <c r="J114" s="15" t="s">
        <v>975</v>
      </c>
    </row>
    <row r="115" spans="2:16" x14ac:dyDescent="0.25">
      <c r="B115" s="522"/>
      <c r="C115" s="522"/>
      <c r="D115" s="522"/>
      <c r="E115" s="522"/>
      <c r="F115" s="522"/>
      <c r="G115" s="522"/>
      <c r="H115" s="522"/>
    </row>
    <row r="116" spans="2:16" x14ac:dyDescent="0.25">
      <c r="B116" s="523" t="s">
        <v>501</v>
      </c>
      <c r="C116" s="540" t="s">
        <v>404</v>
      </c>
      <c r="D116" s="523"/>
      <c r="E116" s="523"/>
      <c r="F116" s="523"/>
      <c r="G116" s="523"/>
      <c r="H116" s="96" t="s">
        <v>248</v>
      </c>
    </row>
    <row r="117" spans="2:16" x14ac:dyDescent="0.25">
      <c r="B117" s="523"/>
      <c r="C117" s="57" t="s">
        <v>233</v>
      </c>
      <c r="D117" s="57" t="s">
        <v>234</v>
      </c>
      <c r="E117" s="57" t="s">
        <v>47</v>
      </c>
      <c r="F117" s="57" t="s">
        <v>37</v>
      </c>
      <c r="G117" s="58" t="s">
        <v>48</v>
      </c>
      <c r="H117" s="58" t="s">
        <v>235</v>
      </c>
    </row>
    <row r="118" spans="2:16" x14ac:dyDescent="0.25">
      <c r="B118" s="59" t="s">
        <v>49</v>
      </c>
      <c r="C118" s="59">
        <v>9874</v>
      </c>
      <c r="D118" s="60" t="s">
        <v>406</v>
      </c>
      <c r="E118" s="59" t="s">
        <v>248</v>
      </c>
      <c r="F118" s="59">
        <v>1.0609999999999999</v>
      </c>
      <c r="G118" s="62">
        <v>17.72</v>
      </c>
      <c r="H118" s="62">
        <f>G118*F118</f>
        <v>18.8</v>
      </c>
    </row>
    <row r="119" spans="2:16" x14ac:dyDescent="0.25">
      <c r="B119" s="59" t="s">
        <v>49</v>
      </c>
      <c r="C119" s="59">
        <v>38383</v>
      </c>
      <c r="D119" s="60" t="s">
        <v>350</v>
      </c>
      <c r="E119" s="59" t="s">
        <v>309</v>
      </c>
      <c r="F119" s="61">
        <f>0.147*1.25</f>
        <v>0.18379999999999999</v>
      </c>
      <c r="G119" s="62">
        <f>G62</f>
        <v>2.71</v>
      </c>
      <c r="H119" s="62">
        <f>G119*F119</f>
        <v>0.5</v>
      </c>
      <c r="O119" s="37"/>
      <c r="P119" s="37"/>
    </row>
    <row r="120" spans="2:16" ht="25.5" x14ac:dyDescent="0.25">
      <c r="B120" s="59" t="s">
        <v>296</v>
      </c>
      <c r="C120" s="59">
        <v>88248</v>
      </c>
      <c r="D120" s="60" t="s">
        <v>351</v>
      </c>
      <c r="E120" s="59" t="s">
        <v>54</v>
      </c>
      <c r="F120" s="59">
        <f>0.44*1.25</f>
        <v>0.55000000000000004</v>
      </c>
      <c r="G120" s="62">
        <f>G105</f>
        <v>17.87</v>
      </c>
      <c r="H120" s="62">
        <f>G120*F120</f>
        <v>9.83</v>
      </c>
      <c r="L120" s="15" t="s">
        <v>434</v>
      </c>
      <c r="O120" s="27" t="s">
        <v>416</v>
      </c>
      <c r="P120" s="27" t="s">
        <v>417</v>
      </c>
    </row>
    <row r="121" spans="2:16" ht="25.5" x14ac:dyDescent="0.25">
      <c r="B121" s="59" t="s">
        <v>296</v>
      </c>
      <c r="C121" s="59">
        <v>88267</v>
      </c>
      <c r="D121" s="60" t="s">
        <v>310</v>
      </c>
      <c r="E121" s="59" t="s">
        <v>54</v>
      </c>
      <c r="F121" s="59">
        <f>0.44*1.25</f>
        <v>0.55000000000000004</v>
      </c>
      <c r="G121" s="62">
        <f>G106</f>
        <v>21.66</v>
      </c>
      <c r="H121" s="62">
        <f>G121*F121</f>
        <v>11.91</v>
      </c>
      <c r="K121" s="97">
        <v>89362</v>
      </c>
      <c r="L121" s="98" t="s">
        <v>412</v>
      </c>
      <c r="M121" s="97" t="s">
        <v>309</v>
      </c>
      <c r="N121" s="99" t="s">
        <v>332</v>
      </c>
      <c r="O121" s="104">
        <f>((32-25)/25)+1</f>
        <v>1.28</v>
      </c>
      <c r="P121" s="104">
        <f>((50-25)/25)+1</f>
        <v>2</v>
      </c>
    </row>
    <row r="122" spans="2:16" x14ac:dyDescent="0.25">
      <c r="B122" s="524" t="s">
        <v>407</v>
      </c>
      <c r="C122" s="524"/>
      <c r="D122" s="524"/>
      <c r="E122" s="161"/>
      <c r="F122" s="161"/>
      <c r="G122" s="160" t="s">
        <v>5</v>
      </c>
      <c r="H122" s="194">
        <f>SUM(H117:H121)</f>
        <v>41.04</v>
      </c>
      <c r="J122" s="15" t="s">
        <v>975</v>
      </c>
      <c r="K122" s="59">
        <v>122</v>
      </c>
      <c r="L122" s="60" t="s">
        <v>348</v>
      </c>
      <c r="M122" s="59" t="s">
        <v>309</v>
      </c>
      <c r="N122" s="59">
        <v>7.0000000000000001E-3</v>
      </c>
      <c r="O122" s="69">
        <f>N122*$O$121</f>
        <v>8.9999999999999993E-3</v>
      </c>
      <c r="P122" s="69">
        <f>N122*$P$121</f>
        <v>1.4E-2</v>
      </c>
    </row>
    <row r="123" spans="2:16" x14ac:dyDescent="0.25">
      <c r="B123" s="522"/>
      <c r="C123" s="522"/>
      <c r="D123" s="522"/>
      <c r="E123" s="522"/>
      <c r="F123" s="522"/>
      <c r="G123" s="522"/>
      <c r="H123" s="522"/>
      <c r="K123" s="59">
        <v>3529</v>
      </c>
      <c r="L123" s="60" t="s">
        <v>411</v>
      </c>
      <c r="M123" s="59" t="s">
        <v>309</v>
      </c>
      <c r="N123" s="59">
        <v>1</v>
      </c>
      <c r="O123" s="69">
        <v>1</v>
      </c>
      <c r="P123" s="69">
        <v>1</v>
      </c>
    </row>
    <row r="124" spans="2:16" x14ac:dyDescent="0.25">
      <c r="B124" s="523" t="s">
        <v>502</v>
      </c>
      <c r="C124" s="540" t="s">
        <v>408</v>
      </c>
      <c r="D124" s="523"/>
      <c r="E124" s="523"/>
      <c r="F124" s="523"/>
      <c r="G124" s="523"/>
      <c r="H124" s="96" t="s">
        <v>248</v>
      </c>
      <c r="K124" s="59">
        <v>20083</v>
      </c>
      <c r="L124" s="60" t="s">
        <v>349</v>
      </c>
      <c r="M124" s="59" t="s">
        <v>309</v>
      </c>
      <c r="N124" s="59">
        <v>8.0000000000000002E-3</v>
      </c>
      <c r="O124" s="69">
        <f>N124*$O$121</f>
        <v>1.0200000000000001E-2</v>
      </c>
      <c r="P124" s="69">
        <f>N124*$P$121</f>
        <v>1.6E-2</v>
      </c>
    </row>
    <row r="125" spans="2:16" x14ac:dyDescent="0.25">
      <c r="B125" s="523"/>
      <c r="C125" s="57" t="s">
        <v>233</v>
      </c>
      <c r="D125" s="57" t="s">
        <v>234</v>
      </c>
      <c r="E125" s="57" t="s">
        <v>47</v>
      </c>
      <c r="F125" s="57" t="s">
        <v>37</v>
      </c>
      <c r="G125" s="58" t="s">
        <v>48</v>
      </c>
      <c r="H125" s="58" t="s">
        <v>235</v>
      </c>
      <c r="K125" s="59">
        <v>38383</v>
      </c>
      <c r="L125" s="60" t="s">
        <v>350</v>
      </c>
      <c r="M125" s="59" t="s">
        <v>309</v>
      </c>
      <c r="N125" s="59">
        <v>0.05</v>
      </c>
      <c r="O125" s="69">
        <f>N125*$O$121</f>
        <v>6.4000000000000001E-2</v>
      </c>
      <c r="P125" s="69">
        <f>N125*$P$121</f>
        <v>0.1</v>
      </c>
    </row>
    <row r="126" spans="2:16" x14ac:dyDescent="0.25">
      <c r="B126" s="59" t="s">
        <v>49</v>
      </c>
      <c r="C126" s="59">
        <v>9875</v>
      </c>
      <c r="D126" s="60" t="s">
        <v>409</v>
      </c>
      <c r="E126" s="59" t="s">
        <v>248</v>
      </c>
      <c r="F126" s="61">
        <v>1.0609999999999999</v>
      </c>
      <c r="G126" s="62">
        <v>19.440000000000001</v>
      </c>
      <c r="H126" s="62">
        <f>G126*F126</f>
        <v>20.63</v>
      </c>
      <c r="K126" s="59">
        <v>88248</v>
      </c>
      <c r="L126" s="184" t="s">
        <v>351</v>
      </c>
      <c r="M126" s="59" t="s">
        <v>54</v>
      </c>
      <c r="N126" s="59">
        <v>0.15</v>
      </c>
      <c r="O126" s="69">
        <f>N126*$O$121</f>
        <v>0.192</v>
      </c>
      <c r="P126" s="69">
        <f>N126*$P$121</f>
        <v>0.3</v>
      </c>
    </row>
    <row r="127" spans="2:16" x14ac:dyDescent="0.25">
      <c r="B127" s="59" t="s">
        <v>49</v>
      </c>
      <c r="C127" s="59">
        <v>38383</v>
      </c>
      <c r="D127" s="60" t="s">
        <v>350</v>
      </c>
      <c r="E127" s="59" t="s">
        <v>309</v>
      </c>
      <c r="F127" s="61">
        <v>0.22969999999999999</v>
      </c>
      <c r="G127" s="62">
        <f>G119</f>
        <v>2.71</v>
      </c>
      <c r="H127" s="62">
        <f>G127*F127</f>
        <v>0.62</v>
      </c>
      <c r="K127" s="59">
        <v>88267</v>
      </c>
      <c r="L127" s="184" t="s">
        <v>310</v>
      </c>
      <c r="M127" s="59" t="s">
        <v>54</v>
      </c>
      <c r="N127" s="59">
        <v>0.15</v>
      </c>
      <c r="O127" s="69">
        <f>N127*$O$121</f>
        <v>0.192</v>
      </c>
      <c r="P127" s="69">
        <f>N127*$P$121</f>
        <v>0.3</v>
      </c>
    </row>
    <row r="128" spans="2:16" ht="25.5" x14ac:dyDescent="0.25">
      <c r="B128" s="59" t="s">
        <v>296</v>
      </c>
      <c r="C128" s="59">
        <v>88248</v>
      </c>
      <c r="D128" s="60" t="s">
        <v>351</v>
      </c>
      <c r="E128" s="59" t="s">
        <v>54</v>
      </c>
      <c r="F128" s="61">
        <v>0.6875</v>
      </c>
      <c r="G128" s="62">
        <f t="shared" ref="G128:G129" si="5">G120</f>
        <v>17.87</v>
      </c>
      <c r="H128" s="62">
        <f>G128*F128</f>
        <v>12.29</v>
      </c>
    </row>
    <row r="129" spans="2:10" ht="25.5" x14ac:dyDescent="0.25">
      <c r="B129" s="59" t="s">
        <v>296</v>
      </c>
      <c r="C129" s="59">
        <v>88267</v>
      </c>
      <c r="D129" s="60" t="s">
        <v>310</v>
      </c>
      <c r="E129" s="59" t="s">
        <v>54</v>
      </c>
      <c r="F129" s="61">
        <v>0.6875</v>
      </c>
      <c r="G129" s="62">
        <f t="shared" si="5"/>
        <v>21.66</v>
      </c>
      <c r="H129" s="62">
        <f>G129*F129</f>
        <v>14.89</v>
      </c>
    </row>
    <row r="130" spans="2:10" x14ac:dyDescent="0.25">
      <c r="B130" s="524" t="s">
        <v>407</v>
      </c>
      <c r="C130" s="524"/>
      <c r="D130" s="524"/>
      <c r="E130" s="161"/>
      <c r="F130" s="161"/>
      <c r="G130" s="160" t="s">
        <v>5</v>
      </c>
      <c r="H130" s="194">
        <f>SUM(H125:H129)</f>
        <v>48.43</v>
      </c>
      <c r="J130" s="15" t="s">
        <v>975</v>
      </c>
    </row>
    <row r="131" spans="2:10" x14ac:dyDescent="0.25">
      <c r="B131" s="522"/>
      <c r="C131" s="522"/>
      <c r="D131" s="522"/>
      <c r="E131" s="522"/>
      <c r="F131" s="522"/>
      <c r="G131" s="522"/>
      <c r="H131" s="522"/>
    </row>
    <row r="132" spans="2:10" ht="25.5" customHeight="1" x14ac:dyDescent="0.25">
      <c r="B132" s="523" t="s">
        <v>503</v>
      </c>
      <c r="C132" s="540" t="s">
        <v>413</v>
      </c>
      <c r="D132" s="523"/>
      <c r="E132" s="523"/>
      <c r="F132" s="523"/>
      <c r="G132" s="523"/>
      <c r="H132" s="96" t="s">
        <v>36</v>
      </c>
    </row>
    <row r="133" spans="2:10" x14ac:dyDescent="0.25">
      <c r="B133" s="523"/>
      <c r="C133" s="57" t="s">
        <v>233</v>
      </c>
      <c r="D133" s="57" t="s">
        <v>234</v>
      </c>
      <c r="E133" s="57" t="s">
        <v>47</v>
      </c>
      <c r="F133" s="57" t="s">
        <v>37</v>
      </c>
      <c r="G133" s="58" t="s">
        <v>48</v>
      </c>
      <c r="H133" s="58" t="s">
        <v>235</v>
      </c>
    </row>
    <row r="134" spans="2:10" x14ac:dyDescent="0.25">
      <c r="B134" s="59" t="s">
        <v>49</v>
      </c>
      <c r="C134" s="59">
        <v>122</v>
      </c>
      <c r="D134" s="60" t="s">
        <v>348</v>
      </c>
      <c r="E134" s="59" t="s">
        <v>309</v>
      </c>
      <c r="F134" s="61">
        <v>8.9999999999999993E-3</v>
      </c>
      <c r="G134" s="62">
        <f>G59</f>
        <v>76.17</v>
      </c>
      <c r="H134" s="62">
        <f t="shared" ref="H134:H139" si="6">G134*F134</f>
        <v>0.69</v>
      </c>
    </row>
    <row r="135" spans="2:10" ht="25.5" x14ac:dyDescent="0.25">
      <c r="B135" s="59" t="s">
        <v>49</v>
      </c>
      <c r="C135" s="59">
        <v>3536</v>
      </c>
      <c r="D135" s="60" t="s">
        <v>971</v>
      </c>
      <c r="E135" s="59" t="s">
        <v>309</v>
      </c>
      <c r="F135" s="61">
        <v>1</v>
      </c>
      <c r="G135" s="62">
        <v>3.05</v>
      </c>
      <c r="H135" s="62">
        <f t="shared" si="6"/>
        <v>3.05</v>
      </c>
    </row>
    <row r="136" spans="2:10" x14ac:dyDescent="0.25">
      <c r="B136" s="59" t="s">
        <v>49</v>
      </c>
      <c r="C136" s="59">
        <v>20083</v>
      </c>
      <c r="D136" s="60" t="s">
        <v>349</v>
      </c>
      <c r="E136" s="59" t="s">
        <v>309</v>
      </c>
      <c r="F136" s="61">
        <v>1.0200000000000001E-2</v>
      </c>
      <c r="G136" s="62">
        <f>G61</f>
        <v>86.3</v>
      </c>
      <c r="H136" s="62">
        <f t="shared" si="6"/>
        <v>0.88</v>
      </c>
    </row>
    <row r="137" spans="2:10" x14ac:dyDescent="0.25">
      <c r="B137" s="59" t="s">
        <v>49</v>
      </c>
      <c r="C137" s="59">
        <v>38383</v>
      </c>
      <c r="D137" s="60" t="s">
        <v>350</v>
      </c>
      <c r="E137" s="59" t="s">
        <v>309</v>
      </c>
      <c r="F137" s="61">
        <v>6.4000000000000001E-2</v>
      </c>
      <c r="G137" s="62">
        <f>G127</f>
        <v>2.71</v>
      </c>
      <c r="H137" s="62">
        <f t="shared" si="6"/>
        <v>0.17</v>
      </c>
    </row>
    <row r="138" spans="2:10" ht="25.5" x14ac:dyDescent="0.25">
      <c r="B138" s="59" t="s">
        <v>296</v>
      </c>
      <c r="C138" s="59">
        <v>88248</v>
      </c>
      <c r="D138" s="60" t="s">
        <v>351</v>
      </c>
      <c r="E138" s="59" t="s">
        <v>54</v>
      </c>
      <c r="F138" s="61">
        <v>0.192</v>
      </c>
      <c r="G138" s="62">
        <f>G128</f>
        <v>17.87</v>
      </c>
      <c r="H138" s="62">
        <f t="shared" si="6"/>
        <v>3.43</v>
      </c>
    </row>
    <row r="139" spans="2:10" ht="25.5" x14ac:dyDescent="0.25">
      <c r="B139" s="59" t="s">
        <v>296</v>
      </c>
      <c r="C139" s="59">
        <v>88267</v>
      </c>
      <c r="D139" s="60" t="s">
        <v>310</v>
      </c>
      <c r="E139" s="59" t="s">
        <v>54</v>
      </c>
      <c r="F139" s="61">
        <v>0.192</v>
      </c>
      <c r="G139" s="62">
        <f>G129</f>
        <v>21.66</v>
      </c>
      <c r="H139" s="62">
        <f t="shared" si="6"/>
        <v>4.16</v>
      </c>
    </row>
    <row r="140" spans="2:10" x14ac:dyDescent="0.25">
      <c r="B140" s="524" t="s">
        <v>415</v>
      </c>
      <c r="C140" s="524"/>
      <c r="D140" s="524"/>
      <c r="E140" s="161"/>
      <c r="F140" s="161"/>
      <c r="G140" s="160" t="s">
        <v>5</v>
      </c>
      <c r="H140" s="194">
        <f>SUM(H134:H139)</f>
        <v>12.38</v>
      </c>
      <c r="J140" s="15" t="s">
        <v>975</v>
      </c>
    </row>
    <row r="141" spans="2:10" x14ac:dyDescent="0.25">
      <c r="B141" s="522"/>
      <c r="C141" s="522"/>
      <c r="D141" s="522"/>
      <c r="E141" s="522"/>
      <c r="F141" s="522"/>
      <c r="G141" s="522"/>
      <c r="H141" s="522"/>
    </row>
    <row r="142" spans="2:10" ht="26.25" customHeight="1" x14ac:dyDescent="0.25">
      <c r="B142" s="523" t="s">
        <v>504</v>
      </c>
      <c r="C142" s="540" t="s">
        <v>414</v>
      </c>
      <c r="D142" s="523"/>
      <c r="E142" s="523"/>
      <c r="F142" s="523"/>
      <c r="G142" s="523"/>
      <c r="H142" s="96" t="s">
        <v>36</v>
      </c>
    </row>
    <row r="143" spans="2:10" x14ac:dyDescent="0.25">
      <c r="B143" s="523"/>
      <c r="C143" s="57" t="s">
        <v>233</v>
      </c>
      <c r="D143" s="57" t="s">
        <v>234</v>
      </c>
      <c r="E143" s="57" t="s">
        <v>47</v>
      </c>
      <c r="F143" s="57" t="s">
        <v>37</v>
      </c>
      <c r="G143" s="58" t="s">
        <v>48</v>
      </c>
      <c r="H143" s="58" t="s">
        <v>235</v>
      </c>
    </row>
    <row r="144" spans="2:10" x14ac:dyDescent="0.25">
      <c r="B144" s="59" t="s">
        <v>49</v>
      </c>
      <c r="C144" s="59">
        <v>122</v>
      </c>
      <c r="D144" s="60" t="s">
        <v>348</v>
      </c>
      <c r="E144" s="59" t="s">
        <v>309</v>
      </c>
      <c r="F144" s="61">
        <v>1.4E-2</v>
      </c>
      <c r="G144" s="62">
        <f>G134</f>
        <v>76.17</v>
      </c>
      <c r="H144" s="62">
        <f t="shared" ref="H144:H149" si="7">G144*F144</f>
        <v>1.07</v>
      </c>
    </row>
    <row r="145" spans="2:15" ht="25.5" x14ac:dyDescent="0.25">
      <c r="B145" s="59" t="s">
        <v>49</v>
      </c>
      <c r="C145" s="59">
        <v>3540</v>
      </c>
      <c r="D145" s="60" t="s">
        <v>972</v>
      </c>
      <c r="E145" s="59" t="s">
        <v>309</v>
      </c>
      <c r="F145" s="61">
        <v>1</v>
      </c>
      <c r="G145" s="62">
        <v>6.29</v>
      </c>
      <c r="H145" s="62">
        <f t="shared" si="7"/>
        <v>6.29</v>
      </c>
    </row>
    <row r="146" spans="2:15" x14ac:dyDescent="0.25">
      <c r="B146" s="59" t="s">
        <v>49</v>
      </c>
      <c r="C146" s="59">
        <v>20083</v>
      </c>
      <c r="D146" s="60" t="s">
        <v>349</v>
      </c>
      <c r="E146" s="59" t="s">
        <v>309</v>
      </c>
      <c r="F146" s="61">
        <v>1.6E-2</v>
      </c>
      <c r="G146" s="62">
        <f>G136</f>
        <v>86.3</v>
      </c>
      <c r="H146" s="62">
        <f t="shared" si="7"/>
        <v>1.38</v>
      </c>
    </row>
    <row r="147" spans="2:15" x14ac:dyDescent="0.25">
      <c r="B147" s="59" t="s">
        <v>49</v>
      </c>
      <c r="C147" s="59">
        <v>38383</v>
      </c>
      <c r="D147" s="60" t="s">
        <v>350</v>
      </c>
      <c r="E147" s="59" t="s">
        <v>309</v>
      </c>
      <c r="F147" s="61">
        <v>0.1</v>
      </c>
      <c r="G147" s="62">
        <f t="shared" ref="G147:G149" si="8">G137</f>
        <v>2.71</v>
      </c>
      <c r="H147" s="62">
        <f t="shared" si="7"/>
        <v>0.27</v>
      </c>
    </row>
    <row r="148" spans="2:15" ht="25.5" x14ac:dyDescent="0.25">
      <c r="B148" s="59" t="s">
        <v>296</v>
      </c>
      <c r="C148" s="59">
        <v>88248</v>
      </c>
      <c r="D148" s="60" t="s">
        <v>351</v>
      </c>
      <c r="E148" s="59" t="s">
        <v>54</v>
      </c>
      <c r="F148" s="61">
        <v>0.3</v>
      </c>
      <c r="G148" s="62">
        <f t="shared" si="8"/>
        <v>17.87</v>
      </c>
      <c r="H148" s="62">
        <f t="shared" si="7"/>
        <v>5.36</v>
      </c>
    </row>
    <row r="149" spans="2:15" ht="25.5" x14ac:dyDescent="0.25">
      <c r="B149" s="59" t="s">
        <v>296</v>
      </c>
      <c r="C149" s="59">
        <v>88267</v>
      </c>
      <c r="D149" s="60" t="s">
        <v>310</v>
      </c>
      <c r="E149" s="59" t="s">
        <v>54</v>
      </c>
      <c r="F149" s="61">
        <v>0.3</v>
      </c>
      <c r="G149" s="62">
        <f t="shared" si="8"/>
        <v>21.66</v>
      </c>
      <c r="H149" s="62">
        <f t="shared" si="7"/>
        <v>6.5</v>
      </c>
    </row>
    <row r="150" spans="2:15" x14ac:dyDescent="0.25">
      <c r="B150" s="524" t="s">
        <v>415</v>
      </c>
      <c r="C150" s="524"/>
      <c r="D150" s="524"/>
      <c r="E150" s="161"/>
      <c r="F150" s="161"/>
      <c r="G150" s="160" t="s">
        <v>5</v>
      </c>
      <c r="H150" s="194">
        <f>SUM(H144:H149)</f>
        <v>20.87</v>
      </c>
      <c r="J150" s="15" t="s">
        <v>975</v>
      </c>
    </row>
    <row r="151" spans="2:15" x14ac:dyDescent="0.25">
      <c r="B151" s="555"/>
      <c r="C151" s="556"/>
      <c r="D151" s="556"/>
      <c r="E151" s="556"/>
      <c r="F151" s="556"/>
      <c r="G151" s="556"/>
      <c r="H151" s="557"/>
    </row>
    <row r="152" spans="2:15" ht="15.75" customHeight="1" x14ac:dyDescent="0.25">
      <c r="B152" s="523" t="s">
        <v>505</v>
      </c>
      <c r="C152" s="540" t="s">
        <v>433</v>
      </c>
      <c r="D152" s="523"/>
      <c r="E152" s="523"/>
      <c r="F152" s="523"/>
      <c r="G152" s="523"/>
      <c r="H152" s="96" t="s">
        <v>36</v>
      </c>
      <c r="K152" s="97">
        <v>89400</v>
      </c>
      <c r="L152" s="98" t="s">
        <v>436</v>
      </c>
      <c r="M152" s="97" t="s">
        <v>309</v>
      </c>
      <c r="N152" s="99" t="s">
        <v>332</v>
      </c>
    </row>
    <row r="153" spans="2:15" x14ac:dyDescent="0.25">
      <c r="B153" s="523"/>
      <c r="C153" s="57" t="s">
        <v>233</v>
      </c>
      <c r="D153" s="57" t="s">
        <v>234</v>
      </c>
      <c r="E153" s="57" t="s">
        <v>47</v>
      </c>
      <c r="F153" s="57" t="s">
        <v>37</v>
      </c>
      <c r="G153" s="58" t="s">
        <v>48</v>
      </c>
      <c r="H153" s="58" t="s">
        <v>235</v>
      </c>
      <c r="K153" s="192">
        <v>122</v>
      </c>
      <c r="L153" s="184" t="s">
        <v>348</v>
      </c>
      <c r="M153" s="59" t="s">
        <v>309</v>
      </c>
      <c r="N153" s="59">
        <v>1.4E-2</v>
      </c>
    </row>
    <row r="154" spans="2:15" x14ac:dyDescent="0.25">
      <c r="B154" s="59" t="s">
        <v>49</v>
      </c>
      <c r="C154" s="59">
        <v>122</v>
      </c>
      <c r="D154" s="60" t="s">
        <v>348</v>
      </c>
      <c r="E154" s="59" t="s">
        <v>309</v>
      </c>
      <c r="F154" s="61">
        <v>1.7600000000000001E-2</v>
      </c>
      <c r="G154" s="62">
        <f>G144</f>
        <v>76.17</v>
      </c>
      <c r="H154" s="62">
        <f t="shared" ref="H154:H159" si="9">G154*F154</f>
        <v>1.34</v>
      </c>
      <c r="K154" s="192">
        <v>7136</v>
      </c>
      <c r="L154" s="184" t="s">
        <v>437</v>
      </c>
      <c r="M154" s="59" t="s">
        <v>309</v>
      </c>
      <c r="N154" s="59">
        <v>1</v>
      </c>
    </row>
    <row r="155" spans="2:15" ht="25.5" x14ac:dyDescent="0.25">
      <c r="B155" s="59" t="s">
        <v>49</v>
      </c>
      <c r="C155" s="59">
        <v>7141</v>
      </c>
      <c r="D155" s="60" t="s">
        <v>435</v>
      </c>
      <c r="E155" s="59" t="s">
        <v>309</v>
      </c>
      <c r="F155" s="61">
        <v>1</v>
      </c>
      <c r="G155" s="62">
        <v>11.62</v>
      </c>
      <c r="H155" s="62">
        <f t="shared" si="9"/>
        <v>11.62</v>
      </c>
      <c r="K155" s="192">
        <v>20083</v>
      </c>
      <c r="L155" s="184" t="s">
        <v>349</v>
      </c>
      <c r="M155" s="59" t="s">
        <v>309</v>
      </c>
      <c r="N155" s="59">
        <v>1.7000000000000001E-2</v>
      </c>
    </row>
    <row r="156" spans="2:15" x14ac:dyDescent="0.25">
      <c r="B156" s="59" t="s">
        <v>49</v>
      </c>
      <c r="C156" s="59">
        <v>20083</v>
      </c>
      <c r="D156" s="60" t="s">
        <v>349</v>
      </c>
      <c r="E156" s="59" t="s">
        <v>309</v>
      </c>
      <c r="F156" s="61">
        <v>1.9199999999999998E-2</v>
      </c>
      <c r="G156" s="62">
        <f>G146</f>
        <v>86.3</v>
      </c>
      <c r="H156" s="62">
        <f t="shared" si="9"/>
        <v>1.66</v>
      </c>
      <c r="K156" s="192">
        <v>38383</v>
      </c>
      <c r="L156" s="184" t="s">
        <v>350</v>
      </c>
      <c r="M156" s="59" t="s">
        <v>309</v>
      </c>
      <c r="N156" s="59">
        <v>8.8999999999999996E-2</v>
      </c>
    </row>
    <row r="157" spans="2:15" x14ac:dyDescent="0.25">
      <c r="B157" s="59" t="s">
        <v>49</v>
      </c>
      <c r="C157" s="59">
        <v>38383</v>
      </c>
      <c r="D157" s="60" t="s">
        <v>350</v>
      </c>
      <c r="E157" s="59" t="s">
        <v>309</v>
      </c>
      <c r="F157" s="61">
        <v>0.12</v>
      </c>
      <c r="G157" s="62">
        <f>G147</f>
        <v>2.71</v>
      </c>
      <c r="H157" s="62">
        <f t="shared" si="9"/>
        <v>0.33</v>
      </c>
      <c r="K157" s="192">
        <v>88248</v>
      </c>
      <c r="L157" s="184" t="s">
        <v>351</v>
      </c>
      <c r="M157" s="59" t="s">
        <v>54</v>
      </c>
      <c r="N157" s="59">
        <v>0.23799999999999999</v>
      </c>
    </row>
    <row r="158" spans="2:15" ht="25.5" x14ac:dyDescent="0.25">
      <c r="B158" s="59" t="s">
        <v>296</v>
      </c>
      <c r="C158" s="59">
        <v>88248</v>
      </c>
      <c r="D158" s="60" t="s">
        <v>351</v>
      </c>
      <c r="E158" s="59" t="s">
        <v>54</v>
      </c>
      <c r="F158" s="61">
        <v>0.32</v>
      </c>
      <c r="G158" s="62">
        <f>G148</f>
        <v>17.87</v>
      </c>
      <c r="H158" s="62">
        <f t="shared" si="9"/>
        <v>5.72</v>
      </c>
      <c r="K158" s="59">
        <v>88267</v>
      </c>
      <c r="L158" s="60" t="s">
        <v>310</v>
      </c>
      <c r="M158" s="59" t="s">
        <v>54</v>
      </c>
      <c r="N158" s="59">
        <v>0.23799999999999999</v>
      </c>
    </row>
    <row r="159" spans="2:15" ht="25.5" x14ac:dyDescent="0.25">
      <c r="B159" s="59" t="s">
        <v>296</v>
      </c>
      <c r="C159" s="59">
        <v>88267</v>
      </c>
      <c r="D159" s="60" t="s">
        <v>310</v>
      </c>
      <c r="E159" s="59" t="s">
        <v>54</v>
      </c>
      <c r="F159" s="61">
        <v>0.32</v>
      </c>
      <c r="G159" s="62">
        <f>G149</f>
        <v>21.66</v>
      </c>
      <c r="H159" s="62">
        <f t="shared" si="9"/>
        <v>6.93</v>
      </c>
    </row>
    <row r="160" spans="2:15" x14ac:dyDescent="0.25">
      <c r="B160" s="524" t="s">
        <v>431</v>
      </c>
      <c r="C160" s="524"/>
      <c r="D160" s="524"/>
      <c r="E160" s="161"/>
      <c r="F160" s="161"/>
      <c r="G160" s="160" t="s">
        <v>5</v>
      </c>
      <c r="H160" s="194">
        <f>SUM(H154:H159)</f>
        <v>27.6</v>
      </c>
      <c r="J160" s="15" t="s">
        <v>975</v>
      </c>
      <c r="L160" s="15" t="s">
        <v>434</v>
      </c>
      <c r="O160" s="27" t="s">
        <v>418</v>
      </c>
    </row>
    <row r="161" spans="2:15" s="38" customFormat="1" x14ac:dyDescent="0.25">
      <c r="B161" s="558"/>
      <c r="C161" s="558"/>
      <c r="D161" s="558"/>
      <c r="E161" s="558"/>
      <c r="F161" s="558"/>
      <c r="G161" s="558"/>
      <c r="H161" s="558"/>
      <c r="K161" s="188">
        <v>89395</v>
      </c>
      <c r="L161" s="189" t="s">
        <v>429</v>
      </c>
      <c r="M161" s="188" t="s">
        <v>309</v>
      </c>
      <c r="N161" s="190" t="s">
        <v>332</v>
      </c>
      <c r="O161" s="191">
        <f>((40-25)/25)+1</f>
        <v>1.6</v>
      </c>
    </row>
    <row r="162" spans="2:15" ht="26.25" customHeight="1" x14ac:dyDescent="0.25">
      <c r="B162" s="523" t="s">
        <v>506</v>
      </c>
      <c r="C162" s="540" t="s">
        <v>439</v>
      </c>
      <c r="D162" s="523"/>
      <c r="E162" s="523"/>
      <c r="F162" s="523"/>
      <c r="G162" s="523"/>
      <c r="H162" s="96" t="s">
        <v>36</v>
      </c>
      <c r="K162" s="59">
        <v>122</v>
      </c>
      <c r="L162" s="60" t="s">
        <v>348</v>
      </c>
      <c r="M162" s="59" t="s">
        <v>309</v>
      </c>
      <c r="N162" s="59">
        <v>1.0999999999999999E-2</v>
      </c>
      <c r="O162" s="105">
        <f t="shared" ref="O162:O167" si="10">$O$161*N162</f>
        <v>1.7600000000000001E-2</v>
      </c>
    </row>
    <row r="163" spans="2:15" x14ac:dyDescent="0.25">
      <c r="B163" s="523"/>
      <c r="C163" s="57" t="s">
        <v>233</v>
      </c>
      <c r="D163" s="57" t="s">
        <v>234</v>
      </c>
      <c r="E163" s="57" t="s">
        <v>47</v>
      </c>
      <c r="F163" s="57" t="s">
        <v>37</v>
      </c>
      <c r="G163" s="58" t="s">
        <v>48</v>
      </c>
      <c r="H163" s="58" t="s">
        <v>235</v>
      </c>
      <c r="K163" s="59">
        <v>7139</v>
      </c>
      <c r="L163" s="60" t="s">
        <v>432</v>
      </c>
      <c r="M163" s="59" t="s">
        <v>309</v>
      </c>
      <c r="N163" s="59">
        <v>1</v>
      </c>
      <c r="O163" s="105">
        <f t="shared" si="10"/>
        <v>1.6</v>
      </c>
    </row>
    <row r="164" spans="2:15" x14ac:dyDescent="0.25">
      <c r="B164" s="59" t="s">
        <v>49</v>
      </c>
      <c r="C164" s="59">
        <v>122</v>
      </c>
      <c r="D164" s="60" t="s">
        <v>348</v>
      </c>
      <c r="E164" s="59" t="s">
        <v>309</v>
      </c>
      <c r="F164" s="61">
        <v>1.4E-2</v>
      </c>
      <c r="G164" s="62">
        <f>G154</f>
        <v>76.17</v>
      </c>
      <c r="H164" s="62">
        <f t="shared" ref="H164:H169" si="11">G164*F164</f>
        <v>1.07</v>
      </c>
      <c r="K164" s="59">
        <v>20083</v>
      </c>
      <c r="L164" s="60" t="s">
        <v>349</v>
      </c>
      <c r="M164" s="59" t="s">
        <v>309</v>
      </c>
      <c r="N164" s="59">
        <v>1.2E-2</v>
      </c>
      <c r="O164" s="105">
        <f t="shared" si="10"/>
        <v>1.9199999999999998E-2</v>
      </c>
    </row>
    <row r="165" spans="2:15" ht="25.5" x14ac:dyDescent="0.25">
      <c r="B165" s="59" t="s">
        <v>49</v>
      </c>
      <c r="C165" s="65" t="str">
        <f>COTAÇÕES!C87</f>
        <v>COT 027</v>
      </c>
      <c r="D165" s="66" t="s">
        <v>438</v>
      </c>
      <c r="E165" s="59" t="s">
        <v>309</v>
      </c>
      <c r="F165" s="61">
        <v>1</v>
      </c>
      <c r="G165" s="62">
        <f>COTAÇÕES!J87</f>
        <v>7.73</v>
      </c>
      <c r="H165" s="62">
        <f t="shared" si="11"/>
        <v>7.73</v>
      </c>
      <c r="J165" s="15" t="s">
        <v>324</v>
      </c>
      <c r="K165" s="59">
        <v>38383</v>
      </c>
      <c r="L165" s="60" t="s">
        <v>350</v>
      </c>
      <c r="M165" s="59" t="s">
        <v>309</v>
      </c>
      <c r="N165" s="59">
        <v>7.4999999999999997E-2</v>
      </c>
      <c r="O165" s="105">
        <f t="shared" si="10"/>
        <v>0.12</v>
      </c>
    </row>
    <row r="166" spans="2:15" ht="25.5" x14ac:dyDescent="0.25">
      <c r="B166" s="59" t="s">
        <v>49</v>
      </c>
      <c r="C166" s="59">
        <v>20083</v>
      </c>
      <c r="D166" s="60" t="s">
        <v>349</v>
      </c>
      <c r="E166" s="59" t="s">
        <v>309</v>
      </c>
      <c r="F166" s="61">
        <v>1.7000000000000001E-2</v>
      </c>
      <c r="G166" s="62">
        <f>G156</f>
        <v>86.3</v>
      </c>
      <c r="H166" s="62">
        <f t="shared" si="11"/>
        <v>1.47</v>
      </c>
      <c r="K166" s="59">
        <v>88248</v>
      </c>
      <c r="L166" s="60" t="s">
        <v>351</v>
      </c>
      <c r="M166" s="59" t="s">
        <v>54</v>
      </c>
      <c r="N166" s="59">
        <v>0.2</v>
      </c>
      <c r="O166" s="105">
        <f t="shared" si="10"/>
        <v>0.32</v>
      </c>
    </row>
    <row r="167" spans="2:15" ht="25.5" x14ac:dyDescent="0.25">
      <c r="B167" s="59" t="s">
        <v>49</v>
      </c>
      <c r="C167" s="59">
        <v>38383</v>
      </c>
      <c r="D167" s="60" t="s">
        <v>350</v>
      </c>
      <c r="E167" s="59" t="s">
        <v>309</v>
      </c>
      <c r="F167" s="61">
        <v>8.8999999999999996E-2</v>
      </c>
      <c r="G167" s="62">
        <f t="shared" ref="G167:G169" si="12">G157</f>
        <v>2.71</v>
      </c>
      <c r="H167" s="62">
        <f t="shared" si="11"/>
        <v>0.24</v>
      </c>
      <c r="K167" s="59">
        <v>88267</v>
      </c>
      <c r="L167" s="60" t="s">
        <v>310</v>
      </c>
      <c r="M167" s="59" t="s">
        <v>54</v>
      </c>
      <c r="N167" s="59">
        <v>0.2</v>
      </c>
      <c r="O167" s="105">
        <f t="shared" si="10"/>
        <v>0.32</v>
      </c>
    </row>
    <row r="168" spans="2:15" ht="25.5" x14ac:dyDescent="0.25">
      <c r="B168" s="59" t="s">
        <v>296</v>
      </c>
      <c r="C168" s="59">
        <v>88248</v>
      </c>
      <c r="D168" s="60" t="s">
        <v>351</v>
      </c>
      <c r="E168" s="59" t="s">
        <v>54</v>
      </c>
      <c r="F168" s="61">
        <v>0.23799999999999999</v>
      </c>
      <c r="G168" s="62">
        <f t="shared" si="12"/>
        <v>17.87</v>
      </c>
      <c r="H168" s="62">
        <f t="shared" si="11"/>
        <v>4.25</v>
      </c>
    </row>
    <row r="169" spans="2:15" ht="25.5" x14ac:dyDescent="0.25">
      <c r="B169" s="59" t="s">
        <v>296</v>
      </c>
      <c r="C169" s="59">
        <v>88267</v>
      </c>
      <c r="D169" s="60" t="s">
        <v>310</v>
      </c>
      <c r="E169" s="59" t="s">
        <v>54</v>
      </c>
      <c r="F169" s="61">
        <v>0.23799999999999999</v>
      </c>
      <c r="G169" s="62">
        <f t="shared" si="12"/>
        <v>21.66</v>
      </c>
      <c r="H169" s="62">
        <f t="shared" si="11"/>
        <v>5.16</v>
      </c>
    </row>
    <row r="170" spans="2:15" x14ac:dyDescent="0.25">
      <c r="B170" s="524" t="s">
        <v>440</v>
      </c>
      <c r="C170" s="524"/>
      <c r="D170" s="524"/>
      <c r="E170" s="161"/>
      <c r="F170" s="161"/>
      <c r="G170" s="160" t="s">
        <v>5</v>
      </c>
      <c r="H170" s="194">
        <f>SUM(H164:H169)</f>
        <v>19.920000000000002</v>
      </c>
    </row>
    <row r="171" spans="2:15" x14ac:dyDescent="0.25">
      <c r="B171" s="522"/>
      <c r="C171" s="522"/>
      <c r="D171" s="522"/>
      <c r="E171" s="522"/>
      <c r="F171" s="522"/>
      <c r="G171" s="522"/>
      <c r="H171" s="522"/>
    </row>
    <row r="172" spans="2:15" ht="26.45" customHeight="1" x14ac:dyDescent="0.2">
      <c r="B172" s="523" t="s">
        <v>507</v>
      </c>
      <c r="C172" s="540" t="str">
        <f>'PLANILHA ORÇAMENTÁRIA'!D347</f>
        <v xml:space="preserve">FORNECIMENTO E INSTALAÇÃO DE PAINEL DE ALARME DE PRESSÃO DE GASES - OXIGÊNIO, AR COMPRIMIDO E VÁCUO </v>
      </c>
      <c r="D172" s="523"/>
      <c r="E172" s="523"/>
      <c r="F172" s="523"/>
      <c r="G172" s="523"/>
      <c r="H172" s="96" t="s">
        <v>36</v>
      </c>
      <c r="I172" s="8"/>
      <c r="J172" s="8"/>
    </row>
    <row r="173" spans="2:15" x14ac:dyDescent="0.2">
      <c r="B173" s="523"/>
      <c r="C173" s="57" t="s">
        <v>233</v>
      </c>
      <c r="D173" s="57" t="s">
        <v>234</v>
      </c>
      <c r="E173" s="57" t="s">
        <v>47</v>
      </c>
      <c r="F173" s="57" t="s">
        <v>37</v>
      </c>
      <c r="G173" s="58" t="s">
        <v>48</v>
      </c>
      <c r="H173" s="58" t="s">
        <v>235</v>
      </c>
      <c r="I173" s="8"/>
      <c r="J173" s="8"/>
    </row>
    <row r="174" spans="2:15" x14ac:dyDescent="0.2">
      <c r="B174" s="65" t="s">
        <v>49</v>
      </c>
      <c r="C174" s="27" t="str">
        <f>COTAÇÕES!C84</f>
        <v>COT 026</v>
      </c>
      <c r="D174" s="25" t="s">
        <v>988</v>
      </c>
      <c r="E174" s="27" t="s">
        <v>309</v>
      </c>
      <c r="F174" s="101">
        <v>1</v>
      </c>
      <c r="G174" s="62">
        <f>COTAÇÕES!J84</f>
        <v>705.76</v>
      </c>
      <c r="H174" s="62">
        <f>F174*G174</f>
        <v>705.76</v>
      </c>
      <c r="I174" s="8"/>
      <c r="J174" s="8" t="s">
        <v>967</v>
      </c>
    </row>
    <row r="175" spans="2:15" ht="38.25" x14ac:dyDescent="0.2">
      <c r="B175" s="65" t="s">
        <v>49</v>
      </c>
      <c r="C175" s="65">
        <v>11950</v>
      </c>
      <c r="D175" s="66" t="s">
        <v>987</v>
      </c>
      <c r="E175" s="65" t="s">
        <v>309</v>
      </c>
      <c r="F175" s="67">
        <v>4</v>
      </c>
      <c r="G175" s="68">
        <v>0.22</v>
      </c>
      <c r="H175" s="62">
        <f t="shared" ref="H175:H177" si="13">F175*G175</f>
        <v>0.88</v>
      </c>
      <c r="I175" s="8"/>
      <c r="J175" s="8"/>
    </row>
    <row r="176" spans="2:15" ht="25.5" x14ac:dyDescent="0.2">
      <c r="B176" s="59" t="s">
        <v>296</v>
      </c>
      <c r="C176" s="59">
        <v>88248</v>
      </c>
      <c r="D176" s="60" t="s">
        <v>351</v>
      </c>
      <c r="E176" s="59" t="s">
        <v>54</v>
      </c>
      <c r="F176" s="61">
        <v>1.4036999999999999</v>
      </c>
      <c r="G176" s="62">
        <f>G168</f>
        <v>17.87</v>
      </c>
      <c r="H176" s="62">
        <f t="shared" si="13"/>
        <v>25.08</v>
      </c>
      <c r="I176" s="8"/>
      <c r="J176" s="8"/>
    </row>
    <row r="177" spans="2:10" ht="25.5" x14ac:dyDescent="0.2">
      <c r="B177" s="59" t="s">
        <v>50</v>
      </c>
      <c r="C177" s="59">
        <v>88267</v>
      </c>
      <c r="D177" s="60" t="s">
        <v>310</v>
      </c>
      <c r="E177" s="59" t="s">
        <v>54</v>
      </c>
      <c r="F177" s="61">
        <v>1.4036999999999999</v>
      </c>
      <c r="G177" s="62">
        <f>G169</f>
        <v>21.66</v>
      </c>
      <c r="H177" s="62">
        <f t="shared" si="13"/>
        <v>30.4</v>
      </c>
      <c r="I177" s="8"/>
      <c r="J177" s="8"/>
    </row>
    <row r="178" spans="2:10" x14ac:dyDescent="0.2">
      <c r="B178" s="524" t="s">
        <v>989</v>
      </c>
      <c r="C178" s="524"/>
      <c r="D178" s="524"/>
      <c r="E178" s="161"/>
      <c r="F178" s="161"/>
      <c r="G178" s="160" t="s">
        <v>5</v>
      </c>
      <c r="H178" s="194">
        <f>SUM(H174:H177)</f>
        <v>762.12</v>
      </c>
      <c r="I178" s="8"/>
      <c r="J178" s="8"/>
    </row>
    <row r="179" spans="2:10" x14ac:dyDescent="0.2">
      <c r="B179" s="522"/>
      <c r="C179" s="522"/>
      <c r="D179" s="522"/>
      <c r="E179" s="522"/>
      <c r="F179" s="522"/>
      <c r="G179" s="522"/>
      <c r="H179" s="522"/>
      <c r="I179" s="8"/>
      <c r="J179" s="8"/>
    </row>
    <row r="180" spans="2:10" ht="27" customHeight="1" x14ac:dyDescent="0.2">
      <c r="B180" s="523" t="s">
        <v>1754</v>
      </c>
      <c r="C180" s="540" t="s">
        <v>1756</v>
      </c>
      <c r="D180" s="523"/>
      <c r="E180" s="523"/>
      <c r="F180" s="523"/>
      <c r="G180" s="523"/>
      <c r="H180" s="96" t="s">
        <v>36</v>
      </c>
      <c r="I180" s="8"/>
      <c r="J180" s="8"/>
    </row>
    <row r="181" spans="2:10" x14ac:dyDescent="0.2">
      <c r="B181" s="523"/>
      <c r="C181" s="57" t="s">
        <v>233</v>
      </c>
      <c r="D181" s="57" t="s">
        <v>234</v>
      </c>
      <c r="E181" s="57" t="s">
        <v>47</v>
      </c>
      <c r="F181" s="57" t="s">
        <v>37</v>
      </c>
      <c r="G181" s="58" t="s">
        <v>48</v>
      </c>
      <c r="H181" s="58" t="s">
        <v>235</v>
      </c>
      <c r="I181" s="8"/>
      <c r="J181" s="8"/>
    </row>
    <row r="182" spans="2:10" ht="25.5" x14ac:dyDescent="0.2">
      <c r="B182" s="65" t="s">
        <v>49</v>
      </c>
      <c r="C182" s="27">
        <v>20085</v>
      </c>
      <c r="D182" s="25" t="s">
        <v>1763</v>
      </c>
      <c r="E182" s="27" t="s">
        <v>309</v>
      </c>
      <c r="F182" s="82">
        <v>1</v>
      </c>
      <c r="G182" s="62">
        <v>2.97</v>
      </c>
      <c r="H182" s="62">
        <f>G182*F182</f>
        <v>2.97</v>
      </c>
      <c r="I182" s="8"/>
      <c r="J182" s="8"/>
    </row>
    <row r="183" spans="2:10" ht="25.5" x14ac:dyDescent="0.2">
      <c r="B183" s="65" t="s">
        <v>49</v>
      </c>
      <c r="C183" s="65">
        <v>299</v>
      </c>
      <c r="D183" s="66" t="s">
        <v>1759</v>
      </c>
      <c r="E183" s="65" t="s">
        <v>309</v>
      </c>
      <c r="F183" s="67">
        <v>1</v>
      </c>
      <c r="G183" s="62">
        <v>4.6900000000000004</v>
      </c>
      <c r="H183" s="62">
        <f t="shared" ref="H183:H187" si="14">G183*F183</f>
        <v>4.6900000000000004</v>
      </c>
      <c r="I183" s="8"/>
      <c r="J183" s="8"/>
    </row>
    <row r="184" spans="2:10" ht="25.5" x14ac:dyDescent="0.2">
      <c r="B184" s="65" t="s">
        <v>49</v>
      </c>
      <c r="C184" s="65">
        <v>3659</v>
      </c>
      <c r="D184" s="66" t="s">
        <v>1721</v>
      </c>
      <c r="E184" s="65" t="s">
        <v>309</v>
      </c>
      <c r="F184" s="185">
        <v>1</v>
      </c>
      <c r="G184" s="68">
        <v>22.53</v>
      </c>
      <c r="H184" s="62">
        <f t="shared" si="14"/>
        <v>22.53</v>
      </c>
      <c r="I184" s="8"/>
      <c r="J184" s="8"/>
    </row>
    <row r="185" spans="2:10" ht="38.25" x14ac:dyDescent="0.2">
      <c r="B185" s="65" t="s">
        <v>49</v>
      </c>
      <c r="C185" s="65">
        <v>20078</v>
      </c>
      <c r="D185" s="66" t="s">
        <v>1755</v>
      </c>
      <c r="E185" s="65" t="s">
        <v>309</v>
      </c>
      <c r="F185" s="185">
        <v>0.06</v>
      </c>
      <c r="G185" s="68">
        <v>31.44</v>
      </c>
      <c r="H185" s="62">
        <f t="shared" si="14"/>
        <v>1.89</v>
      </c>
      <c r="I185" s="8"/>
      <c r="J185" s="8"/>
    </row>
    <row r="186" spans="2:10" ht="25.5" x14ac:dyDescent="0.25">
      <c r="B186" s="59" t="s">
        <v>296</v>
      </c>
      <c r="C186" s="59">
        <v>88248</v>
      </c>
      <c r="D186" s="60" t="s">
        <v>351</v>
      </c>
      <c r="E186" s="59" t="s">
        <v>54</v>
      </c>
      <c r="F186" s="218">
        <v>0.11</v>
      </c>
      <c r="G186" s="62">
        <f>G176</f>
        <v>17.87</v>
      </c>
      <c r="H186" s="62">
        <f t="shared" si="14"/>
        <v>1.97</v>
      </c>
    </row>
    <row r="187" spans="2:10" ht="25.5" x14ac:dyDescent="0.25">
      <c r="B187" s="59" t="s">
        <v>296</v>
      </c>
      <c r="C187" s="59">
        <v>88267</v>
      </c>
      <c r="D187" s="60" t="s">
        <v>310</v>
      </c>
      <c r="E187" s="59" t="s">
        <v>54</v>
      </c>
      <c r="F187" s="218">
        <v>0.11</v>
      </c>
      <c r="G187" s="62">
        <f>G177</f>
        <v>21.66</v>
      </c>
      <c r="H187" s="62">
        <f t="shared" si="14"/>
        <v>2.38</v>
      </c>
    </row>
    <row r="188" spans="2:10" x14ac:dyDescent="0.25">
      <c r="B188" s="524" t="s">
        <v>1757</v>
      </c>
      <c r="C188" s="524"/>
      <c r="D188" s="524"/>
      <c r="E188" s="161"/>
      <c r="F188" s="161"/>
      <c r="G188" s="160" t="s">
        <v>5</v>
      </c>
      <c r="H188" s="194">
        <f>SUM(H182:H187)</f>
        <v>36.43</v>
      </c>
    </row>
    <row r="189" spans="2:10" x14ac:dyDescent="0.25">
      <c r="B189" s="522"/>
      <c r="C189" s="522"/>
      <c r="D189" s="522"/>
      <c r="E189" s="522"/>
      <c r="F189" s="522"/>
      <c r="G189" s="522"/>
      <c r="H189" s="522"/>
    </row>
    <row r="190" spans="2:10" ht="27" customHeight="1" x14ac:dyDescent="0.25">
      <c r="B190" s="523" t="s">
        <v>1758</v>
      </c>
      <c r="C190" s="540" t="s">
        <v>1761</v>
      </c>
      <c r="D190" s="523"/>
      <c r="E190" s="523"/>
      <c r="F190" s="523"/>
      <c r="G190" s="523"/>
      <c r="H190" s="96" t="s">
        <v>36</v>
      </c>
    </row>
    <row r="191" spans="2:10" x14ac:dyDescent="0.25">
      <c r="B191" s="523"/>
      <c r="C191" s="57" t="s">
        <v>233</v>
      </c>
      <c r="D191" s="57" t="s">
        <v>234</v>
      </c>
      <c r="E191" s="57" t="s">
        <v>47</v>
      </c>
      <c r="F191" s="57" t="s">
        <v>37</v>
      </c>
      <c r="G191" s="58" t="s">
        <v>48</v>
      </c>
      <c r="H191" s="58" t="s">
        <v>235</v>
      </c>
    </row>
    <row r="192" spans="2:10" ht="25.5" x14ac:dyDescent="0.25">
      <c r="B192" s="65" t="s">
        <v>49</v>
      </c>
      <c r="C192" s="27">
        <v>20085</v>
      </c>
      <c r="D192" s="25" t="s">
        <v>1763</v>
      </c>
      <c r="E192" s="27" t="s">
        <v>309</v>
      </c>
      <c r="F192" s="82">
        <v>1</v>
      </c>
      <c r="G192" s="62">
        <f>G182</f>
        <v>2.97</v>
      </c>
      <c r="H192" s="62">
        <f>G192*F192</f>
        <v>2.97</v>
      </c>
    </row>
    <row r="193" spans="2:8" ht="25.5" x14ac:dyDescent="0.25">
      <c r="B193" s="65" t="s">
        <v>49</v>
      </c>
      <c r="C193" s="65">
        <v>299</v>
      </c>
      <c r="D193" s="66" t="s">
        <v>1759</v>
      </c>
      <c r="E193" s="65" t="s">
        <v>309</v>
      </c>
      <c r="F193" s="67">
        <v>1</v>
      </c>
      <c r="G193" s="62">
        <f>G183</f>
        <v>4.6900000000000004</v>
      </c>
      <c r="H193" s="62">
        <f t="shared" ref="H193:H198" si="15">G193*F193</f>
        <v>4.6900000000000004</v>
      </c>
    </row>
    <row r="194" spans="2:8" ht="25.5" x14ac:dyDescent="0.25">
      <c r="B194" s="65" t="s">
        <v>49</v>
      </c>
      <c r="C194" s="65">
        <v>301</v>
      </c>
      <c r="D194" s="66" t="s">
        <v>1760</v>
      </c>
      <c r="E194" s="65" t="s">
        <v>309</v>
      </c>
      <c r="F194" s="67">
        <v>1</v>
      </c>
      <c r="G194" s="68">
        <v>4</v>
      </c>
      <c r="H194" s="62">
        <f t="shared" si="15"/>
        <v>4</v>
      </c>
    </row>
    <row r="195" spans="2:8" x14ac:dyDescent="0.25">
      <c r="B195" s="65" t="s">
        <v>49</v>
      </c>
      <c r="C195" s="65">
        <v>20043</v>
      </c>
      <c r="D195" s="66" t="s">
        <v>1725</v>
      </c>
      <c r="E195" s="65" t="s">
        <v>309</v>
      </c>
      <c r="F195" s="67">
        <v>1</v>
      </c>
      <c r="G195" s="68">
        <v>10.81</v>
      </c>
      <c r="H195" s="62">
        <f t="shared" si="15"/>
        <v>10.81</v>
      </c>
    </row>
    <row r="196" spans="2:8" ht="38.25" x14ac:dyDescent="0.25">
      <c r="B196" s="65" t="s">
        <v>49</v>
      </c>
      <c r="C196" s="65">
        <v>20078</v>
      </c>
      <c r="D196" s="66" t="s">
        <v>1755</v>
      </c>
      <c r="E196" s="65" t="s">
        <v>309</v>
      </c>
      <c r="F196" s="67">
        <v>9.5000000000000001E-2</v>
      </c>
      <c r="G196" s="68">
        <f>G185</f>
        <v>31.44</v>
      </c>
      <c r="H196" s="62">
        <f t="shared" si="15"/>
        <v>2.99</v>
      </c>
    </row>
    <row r="197" spans="2:8" ht="25.5" x14ac:dyDescent="0.25">
      <c r="B197" s="59" t="s">
        <v>296</v>
      </c>
      <c r="C197" s="59">
        <v>88248</v>
      </c>
      <c r="D197" s="60" t="s">
        <v>351</v>
      </c>
      <c r="E197" s="59" t="s">
        <v>54</v>
      </c>
      <c r="F197" s="61">
        <v>0.1489</v>
      </c>
      <c r="G197" s="62">
        <f>G186</f>
        <v>17.87</v>
      </c>
      <c r="H197" s="62">
        <f t="shared" si="15"/>
        <v>2.66</v>
      </c>
    </row>
    <row r="198" spans="2:8" ht="25.5" x14ac:dyDescent="0.25">
      <c r="B198" s="59" t="s">
        <v>296</v>
      </c>
      <c r="C198" s="59">
        <v>88267</v>
      </c>
      <c r="D198" s="60" t="s">
        <v>310</v>
      </c>
      <c r="E198" s="59" t="s">
        <v>54</v>
      </c>
      <c r="F198" s="61">
        <v>0.1489</v>
      </c>
      <c r="G198" s="62">
        <f>G187</f>
        <v>21.66</v>
      </c>
      <c r="H198" s="62">
        <f t="shared" si="15"/>
        <v>3.23</v>
      </c>
    </row>
    <row r="199" spans="2:8" x14ac:dyDescent="0.25">
      <c r="B199" s="524" t="s">
        <v>1762</v>
      </c>
      <c r="C199" s="524"/>
      <c r="D199" s="524"/>
      <c r="E199" s="161"/>
      <c r="F199" s="161"/>
      <c r="G199" s="160" t="s">
        <v>5</v>
      </c>
      <c r="H199" s="194">
        <f>SUM(H192:H198)</f>
        <v>31.35</v>
      </c>
    </row>
    <row r="200" spans="2:8" x14ac:dyDescent="0.25">
      <c r="B200" s="522"/>
      <c r="C200" s="522"/>
      <c r="D200" s="522"/>
      <c r="E200" s="522"/>
      <c r="F200" s="522"/>
      <c r="G200" s="522"/>
      <c r="H200" s="522"/>
    </row>
    <row r="201" spans="2:8" x14ac:dyDescent="0.2">
      <c r="B201" s="8"/>
      <c r="C201" s="7"/>
      <c r="D201" s="8"/>
      <c r="E201" s="8"/>
      <c r="F201" s="8"/>
      <c r="G201" s="197"/>
      <c r="H201" s="250" t="str">
        <f>'PMA CIV'!H121</f>
        <v>ARIPUANÃ - MT, 04 de Abril de 2023.</v>
      </c>
    </row>
    <row r="202" spans="2:8" x14ac:dyDescent="0.2">
      <c r="B202" s="8"/>
      <c r="C202" s="7"/>
      <c r="D202" s="8"/>
      <c r="E202" s="8"/>
      <c r="F202" s="8"/>
      <c r="G202" s="197"/>
      <c r="H202" s="197"/>
    </row>
    <row r="203" spans="2:8" ht="90" customHeight="1" x14ac:dyDescent="0.2">
      <c r="B203" s="396" t="str">
        <f>'PLANILHA ORÇAMENTÁRIA'!B463</f>
        <v xml:space="preserve">
FLÁVIA MARIA COSTA
ENG. CIVIL - CREA/MT 031403</v>
      </c>
      <c r="C203" s="396"/>
      <c r="D203" s="396"/>
      <c r="E203" s="396"/>
      <c r="F203" s="396"/>
      <c r="G203" s="396"/>
      <c r="H203" s="396"/>
    </row>
    <row r="204" spans="2:8" x14ac:dyDescent="0.2">
      <c r="B204" s="8"/>
      <c r="C204" s="7"/>
      <c r="D204" s="8"/>
      <c r="E204" s="8"/>
      <c r="F204" s="8"/>
      <c r="G204" s="197"/>
      <c r="H204" s="197"/>
    </row>
    <row r="205" spans="2:8" x14ac:dyDescent="0.2">
      <c r="B205" s="8"/>
      <c r="C205" s="7"/>
      <c r="D205" s="8"/>
      <c r="E205" s="8"/>
      <c r="F205" s="8"/>
      <c r="G205" s="197"/>
      <c r="H205" s="197"/>
    </row>
    <row r="206" spans="2:8" x14ac:dyDescent="0.2">
      <c r="B206" s="8"/>
      <c r="C206" s="7"/>
      <c r="D206" s="8"/>
      <c r="E206" s="8"/>
      <c r="F206" s="8"/>
      <c r="G206" s="197"/>
      <c r="H206" s="197"/>
    </row>
    <row r="207" spans="2:8" x14ac:dyDescent="0.2">
      <c r="B207" s="8"/>
      <c r="C207" s="7"/>
      <c r="D207" s="8"/>
      <c r="E207" s="8"/>
      <c r="F207" s="8"/>
      <c r="G207" s="197"/>
      <c r="H207" s="197"/>
    </row>
    <row r="208" spans="2:8" x14ac:dyDescent="0.2">
      <c r="B208" s="8"/>
      <c r="C208" s="7"/>
      <c r="D208" s="8"/>
      <c r="E208" s="8"/>
      <c r="F208" s="8"/>
      <c r="G208" s="197"/>
      <c r="H208" s="197"/>
    </row>
    <row r="209" spans="2:8" x14ac:dyDescent="0.2">
      <c r="B209" s="8"/>
      <c r="C209" s="7"/>
      <c r="D209" s="8"/>
      <c r="E209" s="8"/>
      <c r="F209" s="8"/>
      <c r="G209" s="197"/>
      <c r="H209" s="197"/>
    </row>
    <row r="210" spans="2:8" x14ac:dyDescent="0.2">
      <c r="B210" s="8"/>
      <c r="C210" s="7"/>
      <c r="D210" s="8"/>
      <c r="E210" s="8"/>
      <c r="F210" s="8"/>
      <c r="G210" s="197"/>
      <c r="H210" s="197"/>
    </row>
    <row r="211" spans="2:8" x14ac:dyDescent="0.2">
      <c r="B211" s="8"/>
      <c r="C211" s="7"/>
      <c r="D211" s="8"/>
      <c r="E211" s="8"/>
      <c r="F211" s="8"/>
      <c r="G211" s="197"/>
      <c r="H211" s="197"/>
    </row>
    <row r="212" spans="2:8" x14ac:dyDescent="0.2">
      <c r="B212" s="8"/>
      <c r="C212" s="7"/>
      <c r="D212" s="8"/>
      <c r="E212" s="8"/>
      <c r="F212" s="8"/>
      <c r="G212" s="197"/>
      <c r="H212" s="197"/>
    </row>
    <row r="213" spans="2:8" x14ac:dyDescent="0.2">
      <c r="B213" s="8"/>
      <c r="C213" s="7"/>
      <c r="D213" s="8"/>
      <c r="E213" s="8"/>
      <c r="F213" s="8"/>
      <c r="G213" s="197"/>
      <c r="H213" s="197"/>
    </row>
    <row r="214" spans="2:8" x14ac:dyDescent="0.2">
      <c r="B214" s="8"/>
      <c r="C214" s="7"/>
      <c r="D214" s="8"/>
      <c r="E214" s="8"/>
      <c r="F214" s="8"/>
      <c r="G214" s="197"/>
      <c r="H214" s="197"/>
    </row>
  </sheetData>
  <mergeCells count="99">
    <mergeCell ref="B190:B191"/>
    <mergeCell ref="C190:G190"/>
    <mergeCell ref="B199:D199"/>
    <mergeCell ref="B200:H200"/>
    <mergeCell ref="B179:H179"/>
    <mergeCell ref="B180:B181"/>
    <mergeCell ref="C180:G180"/>
    <mergeCell ref="B188:D188"/>
    <mergeCell ref="B189:H189"/>
    <mergeCell ref="B24:H24"/>
    <mergeCell ref="B32:H32"/>
    <mergeCell ref="B9:B10"/>
    <mergeCell ref="C9:G9"/>
    <mergeCell ref="B15:D15"/>
    <mergeCell ref="B17:B18"/>
    <mergeCell ref="C17:G17"/>
    <mergeCell ref="B16:H16"/>
    <mergeCell ref="B25:B26"/>
    <mergeCell ref="C25:G25"/>
    <mergeCell ref="B31:D31"/>
    <mergeCell ref="B23:D23"/>
    <mergeCell ref="B55:D55"/>
    <mergeCell ref="B40:H40"/>
    <mergeCell ref="B48:H48"/>
    <mergeCell ref="B33:B34"/>
    <mergeCell ref="C33:G33"/>
    <mergeCell ref="B39:D39"/>
    <mergeCell ref="C41:G41"/>
    <mergeCell ref="B47:D47"/>
    <mergeCell ref="B49:B50"/>
    <mergeCell ref="B41:B42"/>
    <mergeCell ref="C49:G49"/>
    <mergeCell ref="B97:D97"/>
    <mergeCell ref="B76:H76"/>
    <mergeCell ref="B87:H87"/>
    <mergeCell ref="B75:D75"/>
    <mergeCell ref="B77:B78"/>
    <mergeCell ref="C77:G77"/>
    <mergeCell ref="B83:D83"/>
    <mergeCell ref="B88:B89"/>
    <mergeCell ref="C88:G88"/>
    <mergeCell ref="B86:D86"/>
    <mergeCell ref="B84:G84"/>
    <mergeCell ref="F83:G83"/>
    <mergeCell ref="F94:G94"/>
    <mergeCell ref="B66:H66"/>
    <mergeCell ref="B67:B68"/>
    <mergeCell ref="B178:D178"/>
    <mergeCell ref="B8:H8"/>
    <mergeCell ref="B152:B153"/>
    <mergeCell ref="C152:G152"/>
    <mergeCell ref="B160:D160"/>
    <mergeCell ref="B162:B163"/>
    <mergeCell ref="C162:G162"/>
    <mergeCell ref="B123:H123"/>
    <mergeCell ref="B131:H131"/>
    <mergeCell ref="B141:H141"/>
    <mergeCell ref="B151:H151"/>
    <mergeCell ref="B161:H161"/>
    <mergeCell ref="B130:D130"/>
    <mergeCell ref="B95:G95"/>
    <mergeCell ref="B109:B110"/>
    <mergeCell ref="C109:G109"/>
    <mergeCell ref="B172:B173"/>
    <mergeCell ref="C172:G172"/>
    <mergeCell ref="B150:D150"/>
    <mergeCell ref="B171:H171"/>
    <mergeCell ref="C57:G57"/>
    <mergeCell ref="B65:D65"/>
    <mergeCell ref="C142:G142"/>
    <mergeCell ref="C116:G116"/>
    <mergeCell ref="B99:B100"/>
    <mergeCell ref="C67:G67"/>
    <mergeCell ref="B57:B58"/>
    <mergeCell ref="B132:B133"/>
    <mergeCell ref="C132:G132"/>
    <mergeCell ref="C99:G99"/>
    <mergeCell ref="B107:D107"/>
    <mergeCell ref="B124:B125"/>
    <mergeCell ref="C124:G124"/>
    <mergeCell ref="B114:D114"/>
    <mergeCell ref="B116:B117"/>
    <mergeCell ref="B115:H115"/>
    <mergeCell ref="B3:H3"/>
    <mergeCell ref="C4:E4"/>
    <mergeCell ref="F4:H5"/>
    <mergeCell ref="C5:E5"/>
    <mergeCell ref="B203:H203"/>
    <mergeCell ref="C6:D6"/>
    <mergeCell ref="C7:D7"/>
    <mergeCell ref="F7:H7"/>
    <mergeCell ref="B170:D170"/>
    <mergeCell ref="B98:H98"/>
    <mergeCell ref="B108:H108"/>
    <mergeCell ref="B122:D122"/>
    <mergeCell ref="B140:D140"/>
    <mergeCell ref="B142:B143"/>
    <mergeCell ref="B56:H56"/>
    <mergeCell ref="B94:D94"/>
  </mergeCells>
  <conditionalFormatting sqref="B69:F71 F72 B72 B79:F80">
    <cfRule type="expression" dxfId="343" priority="189" stopIfTrue="1">
      <formula>AND($A51&lt;&gt;"COMPOSICAO",$A51&lt;&gt;"INSUMO",$A51&lt;&gt;"")</formula>
    </cfRule>
    <cfRule type="expression" dxfId="342" priority="190" stopIfTrue="1">
      <formula>AND(OR($A51="COMPOSICAO",$A51="INSUMO",$A51&lt;&gt;""),$A51&lt;&gt;"")</formula>
    </cfRule>
  </conditionalFormatting>
  <conditionalFormatting sqref="C59:F64">
    <cfRule type="expression" dxfId="341" priority="187" stopIfTrue="1">
      <formula>AND($A41&lt;&gt;"COMPOSICAO",$A41&lt;&gt;"INSUMO",$A41&lt;&gt;"")</formula>
    </cfRule>
    <cfRule type="expression" dxfId="340" priority="188" stopIfTrue="1">
      <formula>AND(OR($A41="COMPOSICAO",$A41="INSUMO",$A41&lt;&gt;""),$A41&lt;&gt;"")</formula>
    </cfRule>
  </conditionalFormatting>
  <conditionalFormatting sqref="B73:F74">
    <cfRule type="expression" dxfId="339" priority="185" stopIfTrue="1">
      <formula>AND($A55&lt;&gt;"COMPOSICAO",$A55&lt;&gt;"INSUMO",$A55&lt;&gt;"")</formula>
    </cfRule>
    <cfRule type="expression" dxfId="338" priority="186" stopIfTrue="1">
      <formula>AND(OR($A55="COMPOSICAO",$A55="INSUMO",$A55&lt;&gt;""),$A55&lt;&gt;"")</formula>
    </cfRule>
  </conditionalFormatting>
  <conditionalFormatting sqref="C72:E72">
    <cfRule type="expression" dxfId="337" priority="183" stopIfTrue="1">
      <formula>AND($A54&lt;&gt;"COMPOSICAO",$A54&lt;&gt;"INSUMO",$A54&lt;&gt;"")</formula>
    </cfRule>
    <cfRule type="expression" dxfId="336" priority="184" stopIfTrue="1">
      <formula>AND(OR($A54="COMPOSICAO",$A54="INSUMO",$A54&lt;&gt;""),$A54&lt;&gt;"")</formula>
    </cfRule>
  </conditionalFormatting>
  <conditionalFormatting sqref="B81:F82 B148:B149 B138:B139">
    <cfRule type="expression" dxfId="335" priority="181" stopIfTrue="1">
      <formula>AND($A62&lt;&gt;"COMPOSICAO",$A62&lt;&gt;"INSUMO",$A62&lt;&gt;"")</formula>
    </cfRule>
    <cfRule type="expression" dxfId="334" priority="182" stopIfTrue="1">
      <formula>AND(OR($A62="COMPOSICAO",$A62="INSUMO",$A62&lt;&gt;""),$A62&lt;&gt;"")</formula>
    </cfRule>
  </conditionalFormatting>
  <conditionalFormatting sqref="B90:F90">
    <cfRule type="expression" dxfId="333" priority="179" stopIfTrue="1">
      <formula>AND($A67&lt;&gt;"COMPOSICAO",$A67&lt;&gt;"INSUMO",$A67&lt;&gt;"")</formula>
    </cfRule>
    <cfRule type="expression" dxfId="332" priority="180" stopIfTrue="1">
      <formula>AND(OR($A67="COMPOSICAO",$A67="INSUMO",$A67&lt;&gt;""),$A67&lt;&gt;"")</formula>
    </cfRule>
  </conditionalFormatting>
  <conditionalFormatting sqref="B92:F93">
    <cfRule type="expression" dxfId="331" priority="177" stopIfTrue="1">
      <formula>AND($A68&lt;&gt;"COMPOSICAO",$A68&lt;&gt;"INSUMO",$A68&lt;&gt;"")</formula>
    </cfRule>
    <cfRule type="expression" dxfId="330" priority="178" stopIfTrue="1">
      <formula>AND(OR($A68="COMPOSICAO",$A68="INSUMO",$A68&lt;&gt;""),$A68&lt;&gt;"")</formula>
    </cfRule>
  </conditionalFormatting>
  <conditionalFormatting sqref="C103:F103 C105">
    <cfRule type="expression" dxfId="329" priority="175" stopIfTrue="1">
      <formula>AND(#REF!&lt;&gt;"COMPOSICAO",#REF!&lt;&gt;"INSUMO",#REF!&lt;&gt;"")</formula>
    </cfRule>
    <cfRule type="expression" dxfId="328" priority="176" stopIfTrue="1">
      <formula>AND(OR(#REF!="COMPOSICAO",#REF!="INSUMO",#REF!&lt;&gt;""),#REF!&lt;&gt;"")</formula>
    </cfRule>
  </conditionalFormatting>
  <conditionalFormatting sqref="C104:F104">
    <cfRule type="expression" dxfId="327" priority="173" stopIfTrue="1">
      <formula>AND(#REF!&lt;&gt;"COMPOSICAO",#REF!&lt;&gt;"INSUMO",#REF!&lt;&gt;"")</formula>
    </cfRule>
    <cfRule type="expression" dxfId="326" priority="174" stopIfTrue="1">
      <formula>AND(OR(#REF!="COMPOSICAO",#REF!="INSUMO",#REF!&lt;&gt;""),#REF!&lt;&gt;"")</formula>
    </cfRule>
  </conditionalFormatting>
  <conditionalFormatting sqref="C106">
    <cfRule type="expression" dxfId="325" priority="171" stopIfTrue="1">
      <formula>AND($A76&lt;&gt;"COMPOSICAO",$A76&lt;&gt;"INSUMO",$A76&lt;&gt;"")</formula>
    </cfRule>
    <cfRule type="expression" dxfId="324" priority="172" stopIfTrue="1">
      <formula>AND(OR($A76="COMPOSICAO",$A76="INSUMO",$A76&lt;&gt;""),$A76&lt;&gt;"")</formula>
    </cfRule>
  </conditionalFormatting>
  <conditionalFormatting sqref="B85:F85">
    <cfRule type="expression" dxfId="323" priority="191" stopIfTrue="1">
      <formula>AND($A68&lt;&gt;"COMPOSICAO",$A68&lt;&gt;"INSUMO",$A68&lt;&gt;"")</formula>
    </cfRule>
    <cfRule type="expression" dxfId="322" priority="192" stopIfTrue="1">
      <formula>AND(OR($A68="COMPOSICAO",$A68="INSUMO",$A68&lt;&gt;""),$A68&lt;&gt;"")</formula>
    </cfRule>
  </conditionalFormatting>
  <conditionalFormatting sqref="B96:F96">
    <cfRule type="expression" dxfId="321" priority="193" stopIfTrue="1">
      <formula>AND($A75&lt;&gt;"COMPOSICAO",$A75&lt;&gt;"INSUMO",$A75&lt;&gt;"")</formula>
    </cfRule>
    <cfRule type="expression" dxfId="320" priority="194" stopIfTrue="1">
      <formula>AND(OR($A75="COMPOSICAO",$A75="INSUMO",$A75&lt;&gt;""),$A75&lt;&gt;"")</formula>
    </cfRule>
  </conditionalFormatting>
  <conditionalFormatting sqref="B118:F121">
    <cfRule type="expression" dxfId="319" priority="169" stopIfTrue="1">
      <formula>AND($A99&lt;&gt;"COMPOSICAO",$A99&lt;&gt;"INSUMO",$A99&lt;&gt;"")</formula>
    </cfRule>
    <cfRule type="expression" dxfId="318" priority="170" stopIfTrue="1">
      <formula>AND(OR($A99="COMPOSICAO",$A99="INSUMO",$A99&lt;&gt;""),$A99&lt;&gt;"")</formula>
    </cfRule>
  </conditionalFormatting>
  <conditionalFormatting sqref="K106:N110 B155:B159 E155 D156:E157">
    <cfRule type="expression" dxfId="317" priority="167" stopIfTrue="1">
      <formula>AND($A97&lt;&gt;"COMPOSICAO",$A97&lt;&gt;"INSUMO",$A97&lt;&gt;"")</formula>
    </cfRule>
    <cfRule type="expression" dxfId="316" priority="168" stopIfTrue="1">
      <formula>AND(OR($A97="COMPOSICAO",$A97="INSUMO",$A97&lt;&gt;""),$A97&lt;&gt;"")</formula>
    </cfRule>
  </conditionalFormatting>
  <conditionalFormatting sqref="B126:F129">
    <cfRule type="expression" dxfId="315" priority="165" stopIfTrue="1">
      <formula>AND($A107&lt;&gt;"COMPOSICAO",$A107&lt;&gt;"INSUMO",$A107&lt;&gt;"")</formula>
    </cfRule>
    <cfRule type="expression" dxfId="314" priority="166" stopIfTrue="1">
      <formula>AND(OR($A107="COMPOSICAO",$A107="INSUMO",$A107&lt;&gt;""),$A107&lt;&gt;"")</formula>
    </cfRule>
  </conditionalFormatting>
  <conditionalFormatting sqref="P107:P110">
    <cfRule type="expression" dxfId="313" priority="145" stopIfTrue="1">
      <formula>AND($A100&lt;&gt;"COMPOSICAO",$A100&lt;&gt;"INSUMO",$A100&lt;&gt;"")</formula>
    </cfRule>
    <cfRule type="expression" dxfId="312" priority="146" stopIfTrue="1">
      <formula>AND(OR($A100="COMPOSICAO",$A100="INSUMO",$A100&lt;&gt;""),$A100&lt;&gt;"")</formula>
    </cfRule>
  </conditionalFormatting>
  <conditionalFormatting sqref="B134:E137">
    <cfRule type="expression" dxfId="311" priority="163" stopIfTrue="1">
      <formula>AND($A115&lt;&gt;"COMPOSICAO",$A115&lt;&gt;"INSUMO",$A115&lt;&gt;"")</formula>
    </cfRule>
    <cfRule type="expression" dxfId="310" priority="164" stopIfTrue="1">
      <formula>AND(OR($A115="COMPOSICAO",$A115="INSUMO",$A115&lt;&gt;""),$A115&lt;&gt;"")</formula>
    </cfRule>
  </conditionalFormatting>
  <conditionalFormatting sqref="C138:E139">
    <cfRule type="expression" dxfId="309" priority="161" stopIfTrue="1">
      <formula>AND($A119&lt;&gt;"COMPOSICAO",$A119&lt;&gt;"INSUMO",$A119&lt;&gt;"")</formula>
    </cfRule>
    <cfRule type="expression" dxfId="308" priority="162" stopIfTrue="1">
      <formula>AND(OR($A119="COMPOSICAO",$A119="INSUMO",$A119&lt;&gt;""),$A119&lt;&gt;"")</formula>
    </cfRule>
  </conditionalFormatting>
  <conditionalFormatting sqref="F134:F139">
    <cfRule type="expression" dxfId="307" priority="159" stopIfTrue="1">
      <formula>AND($A115&lt;&gt;"COMPOSICAO",$A115&lt;&gt;"INSUMO",$A115&lt;&gt;"")</formula>
    </cfRule>
    <cfRule type="expression" dxfId="306" priority="160" stopIfTrue="1">
      <formula>AND(OR($A115="COMPOSICAO",$A115="INSUMO",$A115&lt;&gt;""),$A115&lt;&gt;"")</formula>
    </cfRule>
  </conditionalFormatting>
  <conditionalFormatting sqref="K121:N127">
    <cfRule type="expression" dxfId="305" priority="157" stopIfTrue="1">
      <formula>AND($A113&lt;&gt;"COMPOSICAO",$A113&lt;&gt;"INSUMO",$A113&lt;&gt;"")</formula>
    </cfRule>
    <cfRule type="expression" dxfId="304" priority="158" stopIfTrue="1">
      <formula>AND(OR($A113="COMPOSICAO",$A113="INSUMO",$A113&lt;&gt;""),$A113&lt;&gt;"")</formula>
    </cfRule>
  </conditionalFormatting>
  <conditionalFormatting sqref="B144:E147">
    <cfRule type="expression" dxfId="303" priority="155" stopIfTrue="1">
      <formula>AND($A125&lt;&gt;"COMPOSICAO",$A125&lt;&gt;"INSUMO",$A125&lt;&gt;"")</formula>
    </cfRule>
    <cfRule type="expression" dxfId="302" priority="156" stopIfTrue="1">
      <formula>AND(OR($A125="COMPOSICAO",$A125="INSUMO",$A125&lt;&gt;""),$A125&lt;&gt;"")</formula>
    </cfRule>
  </conditionalFormatting>
  <conditionalFormatting sqref="C148:E149">
    <cfRule type="expression" dxfId="301" priority="153" stopIfTrue="1">
      <formula>AND($A129&lt;&gt;"COMPOSICAO",$A129&lt;&gt;"INSUMO",$A129&lt;&gt;"")</formula>
    </cfRule>
    <cfRule type="expression" dxfId="300" priority="154" stopIfTrue="1">
      <formula>AND(OR($A129="COMPOSICAO",$A129="INSUMO",$A129&lt;&gt;""),$A129&lt;&gt;"")</formula>
    </cfRule>
  </conditionalFormatting>
  <conditionalFormatting sqref="F144:F149">
    <cfRule type="expression" dxfId="299" priority="151" stopIfTrue="1">
      <formula>AND($A125&lt;&gt;"COMPOSICAO",$A125&lt;&gt;"INSUMO",$A125&lt;&gt;"")</formula>
    </cfRule>
    <cfRule type="expression" dxfId="298" priority="152" stopIfTrue="1">
      <formula>AND(OR($A125="COMPOSICAO",$A125="INSUMO",$A125&lt;&gt;""),$A125&lt;&gt;"")</formula>
    </cfRule>
  </conditionalFormatting>
  <conditionalFormatting sqref="O106:O110">
    <cfRule type="expression" dxfId="297" priority="149" stopIfTrue="1">
      <formula>AND($A99&lt;&gt;"COMPOSICAO",$A99&lt;&gt;"INSUMO",$A99&lt;&gt;"")</formula>
    </cfRule>
    <cfRule type="expression" dxfId="296" priority="150" stopIfTrue="1">
      <formula>AND(OR($A99="COMPOSICAO",$A99="INSUMO",$A99&lt;&gt;""),$A99&lt;&gt;"")</formula>
    </cfRule>
  </conditionalFormatting>
  <conditionalFormatting sqref="P106">
    <cfRule type="expression" dxfId="295" priority="147" stopIfTrue="1">
      <formula>AND($A99&lt;&gt;"COMPOSICAO",$A99&lt;&gt;"INSUMO",$A99&lt;&gt;"")</formula>
    </cfRule>
    <cfRule type="expression" dxfId="294" priority="148" stopIfTrue="1">
      <formula>AND(OR($A99="COMPOSICAO",$A99="INSUMO",$A99&lt;&gt;""),$A99&lt;&gt;"")</formula>
    </cfRule>
  </conditionalFormatting>
  <conditionalFormatting sqref="O121:O127">
    <cfRule type="expression" dxfId="293" priority="195" stopIfTrue="1">
      <formula>AND($A120&lt;&gt;"COMPOSICAO",$A120&lt;&gt;"INSUMO",$A120&lt;&gt;"")</formula>
    </cfRule>
    <cfRule type="expression" dxfId="292" priority="196" stopIfTrue="1">
      <formula>AND(OR($A120="COMPOSICAO",$A120="INSUMO",$A120&lt;&gt;""),$A120&lt;&gt;"")</formula>
    </cfRule>
  </conditionalFormatting>
  <conditionalFormatting sqref="P121:P127">
    <cfRule type="expression" dxfId="291" priority="197" stopIfTrue="1">
      <formula>AND($A127&lt;&gt;"COMPOSICAO",$A127&lt;&gt;"INSUMO",$A127&lt;&gt;"")</formula>
    </cfRule>
    <cfRule type="expression" dxfId="290" priority="198" stopIfTrue="1">
      <formula>AND(OR($A127="COMPOSICAO",$A127="INSUMO",$A127&lt;&gt;""),$A127&lt;&gt;"")</formula>
    </cfRule>
  </conditionalFormatting>
  <conditionalFormatting sqref="C168:C169 B166:B169 D166:E167">
    <cfRule type="expression" dxfId="289" priority="107" stopIfTrue="1">
      <formula>AND(#REF!&lt;&gt;"COMPOSICAO",#REF!&lt;&gt;"INSUMO",#REF!&lt;&gt;"")</formula>
    </cfRule>
    <cfRule type="expression" dxfId="288" priority="108" stopIfTrue="1">
      <formula>AND(OR(#REF!="COMPOSICAO",#REF!="INSUMO",#REF!&lt;&gt;""),#REF!&lt;&gt;"")</formula>
    </cfRule>
  </conditionalFormatting>
  <conditionalFormatting sqref="F154:F159">
    <cfRule type="expression" dxfId="287" priority="129" stopIfTrue="1">
      <formula>AND($A145&lt;&gt;"COMPOSICAO",$A145&lt;&gt;"INSUMO",$A145&lt;&gt;"")</formula>
    </cfRule>
    <cfRule type="expression" dxfId="286" priority="130" stopIfTrue="1">
      <formula>AND(OR($A145="COMPOSICAO",$A145="INSUMO",$A145&lt;&gt;""),$A145&lt;&gt;"")</formula>
    </cfRule>
  </conditionalFormatting>
  <conditionalFormatting sqref="B154:E154">
    <cfRule type="expression" dxfId="285" priority="133" stopIfTrue="1">
      <formula>AND($A145&lt;&gt;"COMPOSICAO",$A145&lt;&gt;"INSUMO",$A145&lt;&gt;"")</formula>
    </cfRule>
    <cfRule type="expression" dxfId="284" priority="134" stopIfTrue="1">
      <formula>AND(OR($A145="COMPOSICAO",$A145="INSUMO",$A145&lt;&gt;""),$A145&lt;&gt;"")</formula>
    </cfRule>
  </conditionalFormatting>
  <conditionalFormatting sqref="D158:E159">
    <cfRule type="expression" dxfId="283" priority="131" stopIfTrue="1">
      <formula>AND($A149&lt;&gt;"COMPOSICAO",$A149&lt;&gt;"INSUMO",$A149&lt;&gt;"")</formula>
    </cfRule>
    <cfRule type="expression" dxfId="282" priority="132" stopIfTrue="1">
      <formula>AND(OR($A149="COMPOSICAO",$A149="INSUMO",$A149&lt;&gt;""),$A149&lt;&gt;"")</formula>
    </cfRule>
  </conditionalFormatting>
  <conditionalFormatting sqref="C156:C157">
    <cfRule type="expression" dxfId="281" priority="127" stopIfTrue="1">
      <formula>AND($A147&lt;&gt;"COMPOSICAO",$A147&lt;&gt;"INSUMO",$A147&lt;&gt;"")</formula>
    </cfRule>
    <cfRule type="expression" dxfId="280" priority="128" stopIfTrue="1">
      <formula>AND(OR($A147="COMPOSICAO",$A147="INSUMO",$A147&lt;&gt;""),$A147&lt;&gt;"")</formula>
    </cfRule>
  </conditionalFormatting>
  <conditionalFormatting sqref="C158:C159">
    <cfRule type="expression" dxfId="279" priority="125" stopIfTrue="1">
      <formula>AND($A149&lt;&gt;"COMPOSICAO",$A149&lt;&gt;"INSUMO",$A149&lt;&gt;"")</formula>
    </cfRule>
    <cfRule type="expression" dxfId="278" priority="126" stopIfTrue="1">
      <formula>AND(OR($A149="COMPOSICAO",$A149="INSUMO",$A149&lt;&gt;""),$A149&lt;&gt;"")</formula>
    </cfRule>
  </conditionalFormatting>
  <conditionalFormatting sqref="K161:M167">
    <cfRule type="expression" dxfId="277" priority="123" stopIfTrue="1">
      <formula>AND($A143&lt;&gt;"COMPOSICAO",$A143&lt;&gt;"INSUMO",$A143&lt;&gt;"")</formula>
    </cfRule>
    <cfRule type="expression" dxfId="276" priority="124" stopIfTrue="1">
      <formula>AND(OR($A143="COMPOSICAO",$A143="INSUMO",$A143&lt;&gt;""),$A143&lt;&gt;"")</formula>
    </cfRule>
  </conditionalFormatting>
  <conditionalFormatting sqref="N161">
    <cfRule type="expression" dxfId="275" priority="121" stopIfTrue="1">
      <formula>AND($A143&lt;&gt;"COMPOSICAO",$A143&lt;&gt;"INSUMO",$A143&lt;&gt;"")</formula>
    </cfRule>
    <cfRule type="expression" dxfId="274" priority="122" stopIfTrue="1">
      <formula>AND(OR($A143="COMPOSICAO",$A143="INSUMO",$A143&lt;&gt;""),$A143&lt;&gt;"")</formula>
    </cfRule>
  </conditionalFormatting>
  <conditionalFormatting sqref="N162:N167">
    <cfRule type="expression" dxfId="273" priority="119" stopIfTrue="1">
      <formula>AND($A144&lt;&gt;"COMPOSICAO",$A144&lt;&gt;"INSUMO",$A144&lt;&gt;"")</formula>
    </cfRule>
    <cfRule type="expression" dxfId="272" priority="120" stopIfTrue="1">
      <formula>AND(OR($A144="COMPOSICAO",$A144="INSUMO",$A144&lt;&gt;""),$A144&lt;&gt;"")</formula>
    </cfRule>
  </conditionalFormatting>
  <conditionalFormatting sqref="O161:O167">
    <cfRule type="expression" dxfId="271" priority="117" stopIfTrue="1">
      <formula>AND($A143&lt;&gt;"COMPOSICAO",$A143&lt;&gt;"INSUMO",$A143&lt;&gt;"")</formula>
    </cfRule>
    <cfRule type="expression" dxfId="270" priority="118" stopIfTrue="1">
      <formula>AND(OR($A143="COMPOSICAO",$A143="INSUMO",$A143&lt;&gt;""),$A143&lt;&gt;"")</formula>
    </cfRule>
  </conditionalFormatting>
  <conditionalFormatting sqref="F164:F169">
    <cfRule type="expression" dxfId="269" priority="111" stopIfTrue="1">
      <formula>AND(#REF!&lt;&gt;"COMPOSICAO",#REF!&lt;&gt;"INSUMO",#REF!&lt;&gt;"")</formula>
    </cfRule>
    <cfRule type="expression" dxfId="268" priority="112" stopIfTrue="1">
      <formula>AND(OR(#REF!="COMPOSICAO",#REF!="INSUMO",#REF!&lt;&gt;""),#REF!&lt;&gt;"")</formula>
    </cfRule>
  </conditionalFormatting>
  <conditionalFormatting sqref="B164:E165">
    <cfRule type="expression" dxfId="267" priority="115" stopIfTrue="1">
      <formula>AND(#REF!&lt;&gt;"COMPOSICAO",#REF!&lt;&gt;"INSUMO",#REF!&lt;&gt;"")</formula>
    </cfRule>
    <cfRule type="expression" dxfId="266" priority="116" stopIfTrue="1">
      <formula>AND(OR(#REF!="COMPOSICAO",#REF!="INSUMO",#REF!&lt;&gt;""),#REF!&lt;&gt;"")</formula>
    </cfRule>
  </conditionalFormatting>
  <conditionalFormatting sqref="D168:E169">
    <cfRule type="expression" dxfId="265" priority="113" stopIfTrue="1">
      <formula>AND(#REF!&lt;&gt;"COMPOSICAO",#REF!&lt;&gt;"INSUMO",#REF!&lt;&gt;"")</formula>
    </cfRule>
    <cfRule type="expression" dxfId="264" priority="114" stopIfTrue="1">
      <formula>AND(OR(#REF!="COMPOSICAO",#REF!="INSUMO",#REF!&lt;&gt;""),#REF!&lt;&gt;"")</formula>
    </cfRule>
  </conditionalFormatting>
  <conditionalFormatting sqref="C166:C167">
    <cfRule type="expression" dxfId="263" priority="109" stopIfTrue="1">
      <formula>AND(#REF!&lt;&gt;"COMPOSICAO",#REF!&lt;&gt;"INSUMO",#REF!&lt;&gt;"")</formula>
    </cfRule>
    <cfRule type="expression" dxfId="262" priority="110" stopIfTrue="1">
      <formula>AND(OR(#REF!="COMPOSICAO",#REF!="INSUMO",#REF!&lt;&gt;""),#REF!&lt;&gt;"")</formula>
    </cfRule>
  </conditionalFormatting>
  <conditionalFormatting sqref="C155:D155">
    <cfRule type="expression" dxfId="261" priority="105" stopIfTrue="1">
      <formula>AND($A146&lt;&gt;"COMPOSICAO",$A146&lt;&gt;"INSUMO",$A146&lt;&gt;"")</formula>
    </cfRule>
    <cfRule type="expression" dxfId="260" priority="106" stopIfTrue="1">
      <formula>AND(OR($A146="COMPOSICAO",$A146="INSUMO",$A146&lt;&gt;""),$A146&lt;&gt;"")</formula>
    </cfRule>
  </conditionalFormatting>
  <conditionalFormatting sqref="K152:N158">
    <cfRule type="expression" dxfId="259" priority="103" stopIfTrue="1">
      <formula>AND(#REF!&lt;&gt;"COMPOSICAO",#REF!&lt;&gt;"INSUMO",#REF!&lt;&gt;"")</formula>
    </cfRule>
    <cfRule type="expression" dxfId="258" priority="104" stopIfTrue="1">
      <formula>AND(OR(#REF!="COMPOSICAO",#REF!="INSUMO",#REF!&lt;&gt;""),#REF!&lt;&gt;"")</formula>
    </cfRule>
  </conditionalFormatting>
  <conditionalFormatting sqref="F177 B177:C177 F175 B174:B175 B192:B196">
    <cfRule type="expression" dxfId="257" priority="75" stopIfTrue="1">
      <formula>AND(#REF!&lt;&gt;"COMPOSICAO",#REF!&lt;&gt;"INSUMO",#REF!&lt;&gt;"")</formula>
    </cfRule>
    <cfRule type="expression" dxfId="256" priority="76" stopIfTrue="1">
      <formula>AND(OR(#REF!="COMPOSICAO",#REF!="INSUMO",#REF!&lt;&gt;""),#REF!&lt;&gt;"")</formula>
    </cfRule>
  </conditionalFormatting>
  <conditionalFormatting sqref="D175:E175">
    <cfRule type="expression" dxfId="255" priority="81" stopIfTrue="1">
      <formula>AND(#REF!&lt;&gt;"COMPOSICAO",#REF!&lt;&gt;"INSUMO",#REF!&lt;&gt;"")</formula>
    </cfRule>
    <cfRule type="expression" dxfId="254" priority="82" stopIfTrue="1">
      <formula>AND(OR(#REF!="COMPOSICAO",#REF!="INSUMO",#REF!&lt;&gt;""),#REF!&lt;&gt;"")</formula>
    </cfRule>
  </conditionalFormatting>
  <conditionalFormatting sqref="D177:E177">
    <cfRule type="expression" dxfId="253" priority="79" stopIfTrue="1">
      <formula>AND(#REF!&lt;&gt;"COMPOSICAO",#REF!&lt;&gt;"INSUMO",#REF!&lt;&gt;"")</formula>
    </cfRule>
    <cfRule type="expression" dxfId="252" priority="80" stopIfTrue="1">
      <formula>AND(OR(#REF!="COMPOSICAO",#REF!="INSUMO",#REF!&lt;&gt;""),#REF!&lt;&gt;"")</formula>
    </cfRule>
  </conditionalFormatting>
  <conditionalFormatting sqref="C175">
    <cfRule type="expression" dxfId="251" priority="77" stopIfTrue="1">
      <formula>AND(#REF!&lt;&gt;"COMPOSICAO",#REF!&lt;&gt;"INSUMO",#REF!&lt;&gt;"")</formula>
    </cfRule>
    <cfRule type="expression" dxfId="250" priority="78" stopIfTrue="1">
      <formula>AND(OR(#REF!="COMPOSICAO",#REF!="INSUMO",#REF!&lt;&gt;""),#REF!&lt;&gt;"")</formula>
    </cfRule>
  </conditionalFormatting>
  <conditionalFormatting sqref="B91:F91">
    <cfRule type="expression" dxfId="249" priority="63" stopIfTrue="1">
      <formula>AND($A73&lt;&gt;"COMPOSICAO",$A73&lt;&gt;"INSUMO",$A73&lt;&gt;"")</formula>
    </cfRule>
    <cfRule type="expression" dxfId="248" priority="64" stopIfTrue="1">
      <formula>AND(OR($A73="COMPOSICAO",$A73="INSUMO",$A73&lt;&gt;""),$A73&lt;&gt;"")</formula>
    </cfRule>
  </conditionalFormatting>
  <conditionalFormatting sqref="B176:C176">
    <cfRule type="expression" dxfId="247" priority="57" stopIfTrue="1">
      <formula>AND(#REF!&lt;&gt;"COMPOSICAO",#REF!&lt;&gt;"INSUMO",#REF!&lt;&gt;"")</formula>
    </cfRule>
    <cfRule type="expression" dxfId="246" priority="58" stopIfTrue="1">
      <formula>AND(OR(#REF!="COMPOSICAO",#REF!="INSUMO",#REF!&lt;&gt;""),#REF!&lt;&gt;"")</formula>
    </cfRule>
  </conditionalFormatting>
  <conditionalFormatting sqref="F176">
    <cfRule type="expression" dxfId="245" priority="59" stopIfTrue="1">
      <formula>AND(#REF!&lt;&gt;"COMPOSICAO",#REF!&lt;&gt;"INSUMO",#REF!&lt;&gt;"")</formula>
    </cfRule>
    <cfRule type="expression" dxfId="244" priority="60" stopIfTrue="1">
      <formula>AND(OR(#REF!="COMPOSICAO",#REF!="INSUMO",#REF!&lt;&gt;""),#REF!&lt;&gt;"")</formula>
    </cfRule>
  </conditionalFormatting>
  <conditionalFormatting sqref="D176:E176">
    <cfRule type="expression" dxfId="243" priority="61" stopIfTrue="1">
      <formula>AND(#REF!&lt;&gt;"COMPOSICAO",#REF!&lt;&gt;"INSUMO",#REF!&lt;&gt;"")</formula>
    </cfRule>
    <cfRule type="expression" dxfId="242" priority="62" stopIfTrue="1">
      <formula>AND(OR(#REF!="COMPOSICAO",#REF!="INSUMO",#REF!&lt;&gt;""),#REF!&lt;&gt;"")</formula>
    </cfRule>
  </conditionalFormatting>
  <conditionalFormatting sqref="F187 B187:C187 F184:F185 B182:B185">
    <cfRule type="expression" dxfId="241" priority="49" stopIfTrue="1">
      <formula>AND(#REF!&lt;&gt;"COMPOSICAO",#REF!&lt;&gt;"INSUMO",#REF!&lt;&gt;"")</formula>
    </cfRule>
    <cfRule type="expression" dxfId="240" priority="50" stopIfTrue="1">
      <formula>AND(OR(#REF!="COMPOSICAO",#REF!="INSUMO",#REF!&lt;&gt;""),#REF!&lt;&gt;"")</formula>
    </cfRule>
  </conditionalFormatting>
  <conditionalFormatting sqref="D184:E185">
    <cfRule type="expression" dxfId="239" priority="55" stopIfTrue="1">
      <formula>AND(#REF!&lt;&gt;"COMPOSICAO",#REF!&lt;&gt;"INSUMO",#REF!&lt;&gt;"")</formula>
    </cfRule>
    <cfRule type="expression" dxfId="238" priority="56" stopIfTrue="1">
      <formula>AND(OR(#REF!="COMPOSICAO",#REF!="INSUMO",#REF!&lt;&gt;""),#REF!&lt;&gt;"")</formula>
    </cfRule>
  </conditionalFormatting>
  <conditionalFormatting sqref="D187:E187">
    <cfRule type="expression" dxfId="237" priority="53" stopIfTrue="1">
      <formula>AND(#REF!&lt;&gt;"COMPOSICAO",#REF!&lt;&gt;"INSUMO",#REF!&lt;&gt;"")</formula>
    </cfRule>
    <cfRule type="expression" dxfId="236" priority="54" stopIfTrue="1">
      <formula>AND(OR(#REF!="COMPOSICAO",#REF!="INSUMO",#REF!&lt;&gt;""),#REF!&lt;&gt;"")</formula>
    </cfRule>
  </conditionalFormatting>
  <conditionalFormatting sqref="C184:C185">
    <cfRule type="expression" dxfId="235" priority="51" stopIfTrue="1">
      <formula>AND(#REF!&lt;&gt;"COMPOSICAO",#REF!&lt;&gt;"INSUMO",#REF!&lt;&gt;"")</formula>
    </cfRule>
    <cfRule type="expression" dxfId="234" priority="52" stopIfTrue="1">
      <formula>AND(OR(#REF!="COMPOSICAO",#REF!="INSUMO",#REF!&lt;&gt;""),#REF!&lt;&gt;"")</formula>
    </cfRule>
  </conditionalFormatting>
  <conditionalFormatting sqref="B186:C186">
    <cfRule type="expression" dxfId="233" priority="43" stopIfTrue="1">
      <formula>AND(#REF!&lt;&gt;"COMPOSICAO",#REF!&lt;&gt;"INSUMO",#REF!&lt;&gt;"")</formula>
    </cfRule>
    <cfRule type="expression" dxfId="232" priority="44" stopIfTrue="1">
      <formula>AND(OR(#REF!="COMPOSICAO",#REF!="INSUMO",#REF!&lt;&gt;""),#REF!&lt;&gt;"")</formula>
    </cfRule>
  </conditionalFormatting>
  <conditionalFormatting sqref="F186">
    <cfRule type="expression" dxfId="231" priority="45" stopIfTrue="1">
      <formula>AND(#REF!&lt;&gt;"COMPOSICAO",#REF!&lt;&gt;"INSUMO",#REF!&lt;&gt;"")</formula>
    </cfRule>
    <cfRule type="expression" dxfId="230" priority="46" stopIfTrue="1">
      <formula>AND(OR(#REF!="COMPOSICAO",#REF!="INSUMO",#REF!&lt;&gt;""),#REF!&lt;&gt;"")</formula>
    </cfRule>
  </conditionalFormatting>
  <conditionalFormatting sqref="D186:E186">
    <cfRule type="expression" dxfId="229" priority="47" stopIfTrue="1">
      <formula>AND(#REF!&lt;&gt;"COMPOSICAO",#REF!&lt;&gt;"INSUMO",#REF!&lt;&gt;"")</formula>
    </cfRule>
    <cfRule type="expression" dxfId="228" priority="48" stopIfTrue="1">
      <formula>AND(OR(#REF!="COMPOSICAO",#REF!="INSUMO",#REF!&lt;&gt;""),#REF!&lt;&gt;"")</formula>
    </cfRule>
  </conditionalFormatting>
  <conditionalFormatting sqref="F198 B198:C198 F194:F196">
    <cfRule type="expression" dxfId="227" priority="35" stopIfTrue="1">
      <formula>AND(#REF!&lt;&gt;"COMPOSICAO",#REF!&lt;&gt;"INSUMO",#REF!&lt;&gt;"")</formula>
    </cfRule>
    <cfRule type="expression" dxfId="226" priority="36" stopIfTrue="1">
      <formula>AND(OR(#REF!="COMPOSICAO",#REF!="INSUMO",#REF!&lt;&gt;""),#REF!&lt;&gt;"")</formula>
    </cfRule>
  </conditionalFormatting>
  <conditionalFormatting sqref="D194:E196">
    <cfRule type="expression" dxfId="225" priority="41" stopIfTrue="1">
      <formula>AND(#REF!&lt;&gt;"COMPOSICAO",#REF!&lt;&gt;"INSUMO",#REF!&lt;&gt;"")</formula>
    </cfRule>
    <cfRule type="expression" dxfId="224" priority="42" stopIfTrue="1">
      <formula>AND(OR(#REF!="COMPOSICAO",#REF!="INSUMO",#REF!&lt;&gt;""),#REF!&lt;&gt;"")</formula>
    </cfRule>
  </conditionalFormatting>
  <conditionalFormatting sqref="D198:E198">
    <cfRule type="expression" dxfId="223" priority="39" stopIfTrue="1">
      <formula>AND(#REF!&lt;&gt;"COMPOSICAO",#REF!&lt;&gt;"INSUMO",#REF!&lt;&gt;"")</formula>
    </cfRule>
    <cfRule type="expression" dxfId="222" priority="40" stopIfTrue="1">
      <formula>AND(OR(#REF!="COMPOSICAO",#REF!="INSUMO",#REF!&lt;&gt;""),#REF!&lt;&gt;"")</formula>
    </cfRule>
  </conditionalFormatting>
  <conditionalFormatting sqref="C194:C196">
    <cfRule type="expression" dxfId="221" priority="37" stopIfTrue="1">
      <formula>AND(#REF!&lt;&gt;"COMPOSICAO",#REF!&lt;&gt;"INSUMO",#REF!&lt;&gt;"")</formula>
    </cfRule>
    <cfRule type="expression" dxfId="220" priority="38" stopIfTrue="1">
      <formula>AND(OR(#REF!="COMPOSICAO",#REF!="INSUMO",#REF!&lt;&gt;""),#REF!&lt;&gt;"")</formula>
    </cfRule>
  </conditionalFormatting>
  <conditionalFormatting sqref="B197:C197">
    <cfRule type="expression" dxfId="219" priority="29" stopIfTrue="1">
      <formula>AND(#REF!&lt;&gt;"COMPOSICAO",#REF!&lt;&gt;"INSUMO",#REF!&lt;&gt;"")</formula>
    </cfRule>
    <cfRule type="expression" dxfId="218" priority="30" stopIfTrue="1">
      <formula>AND(OR(#REF!="COMPOSICAO",#REF!="INSUMO",#REF!&lt;&gt;""),#REF!&lt;&gt;"")</formula>
    </cfRule>
  </conditionalFormatting>
  <conditionalFormatting sqref="F197">
    <cfRule type="expression" dxfId="217" priority="31" stopIfTrue="1">
      <formula>AND(#REF!&lt;&gt;"COMPOSICAO",#REF!&lt;&gt;"INSUMO",#REF!&lt;&gt;"")</formula>
    </cfRule>
    <cfRule type="expression" dxfId="216" priority="32" stopIfTrue="1">
      <formula>AND(OR(#REF!="COMPOSICAO",#REF!="INSUMO",#REF!&lt;&gt;""),#REF!&lt;&gt;"")</formula>
    </cfRule>
  </conditionalFormatting>
  <conditionalFormatting sqref="D197:E197">
    <cfRule type="expression" dxfId="215" priority="33" stopIfTrue="1">
      <formula>AND(#REF!&lt;&gt;"COMPOSICAO",#REF!&lt;&gt;"INSUMO",#REF!&lt;&gt;"")</formula>
    </cfRule>
    <cfRule type="expression" dxfId="214" priority="34" stopIfTrue="1">
      <formula>AND(OR(#REF!="COMPOSICAO",#REF!="INSUMO",#REF!&lt;&gt;""),#REF!&lt;&gt;"")</formula>
    </cfRule>
  </conditionalFormatting>
  <conditionalFormatting sqref="F183">
    <cfRule type="expression" dxfId="213" priority="23" stopIfTrue="1">
      <formula>AND(#REF!&lt;&gt;"COMPOSICAO",#REF!&lt;&gt;"INSUMO",#REF!&lt;&gt;"")</formula>
    </cfRule>
    <cfRule type="expression" dxfId="212" priority="24" stopIfTrue="1">
      <formula>AND(OR(#REF!="COMPOSICAO",#REF!="INSUMO",#REF!&lt;&gt;""),#REF!&lt;&gt;"")</formula>
    </cfRule>
  </conditionalFormatting>
  <conditionalFormatting sqref="D183:E183">
    <cfRule type="expression" dxfId="211" priority="27" stopIfTrue="1">
      <formula>AND(#REF!&lt;&gt;"COMPOSICAO",#REF!&lt;&gt;"INSUMO",#REF!&lt;&gt;"")</formula>
    </cfRule>
    <cfRule type="expression" dxfId="210" priority="28" stopIfTrue="1">
      <formula>AND(OR(#REF!="COMPOSICAO",#REF!="INSUMO",#REF!&lt;&gt;""),#REF!&lt;&gt;"")</formula>
    </cfRule>
  </conditionalFormatting>
  <conditionalFormatting sqref="C183">
    <cfRule type="expression" dxfId="209" priority="25" stopIfTrue="1">
      <formula>AND(#REF!&lt;&gt;"COMPOSICAO",#REF!&lt;&gt;"INSUMO",#REF!&lt;&gt;"")</formula>
    </cfRule>
    <cfRule type="expression" dxfId="208" priority="26" stopIfTrue="1">
      <formula>AND(OR(#REF!="COMPOSICAO",#REF!="INSUMO",#REF!&lt;&gt;""),#REF!&lt;&gt;"")</formula>
    </cfRule>
  </conditionalFormatting>
  <conditionalFormatting sqref="F193">
    <cfRule type="expression" dxfId="207" priority="1" stopIfTrue="1">
      <formula>AND(#REF!&lt;&gt;"COMPOSICAO",#REF!&lt;&gt;"INSUMO",#REF!&lt;&gt;"")</formula>
    </cfRule>
    <cfRule type="expression" dxfId="206" priority="2" stopIfTrue="1">
      <formula>AND(OR(#REF!="COMPOSICAO",#REF!="INSUMO",#REF!&lt;&gt;""),#REF!&lt;&gt;"")</formula>
    </cfRule>
  </conditionalFormatting>
  <conditionalFormatting sqref="D193:E193">
    <cfRule type="expression" dxfId="205" priority="5" stopIfTrue="1">
      <formula>AND(#REF!&lt;&gt;"COMPOSICAO",#REF!&lt;&gt;"INSUMO",#REF!&lt;&gt;"")</formula>
    </cfRule>
    <cfRule type="expression" dxfId="204" priority="6" stopIfTrue="1">
      <formula>AND(OR(#REF!="COMPOSICAO",#REF!="INSUMO",#REF!&lt;&gt;""),#REF!&lt;&gt;"")</formula>
    </cfRule>
  </conditionalFormatting>
  <conditionalFormatting sqref="C193">
    <cfRule type="expression" dxfId="203" priority="3" stopIfTrue="1">
      <formula>AND(#REF!&lt;&gt;"COMPOSICAO",#REF!&lt;&gt;"INSUMO",#REF!&lt;&gt;"")</formula>
    </cfRule>
    <cfRule type="expression" dxfId="202" priority="4" stopIfTrue="1">
      <formula>AND(OR(#REF!="COMPOSICAO",#REF!="INSUMO",#REF!&lt;&gt;""),#REF!&lt;&gt;"")</formula>
    </cfRule>
  </conditionalFormatting>
  <pageMargins left="0.511811024" right="0.511811024" top="0.78740157499999996" bottom="0.78740157499999996" header="0.31496062000000002" footer="0.31496062000000002"/>
  <pageSetup paperSize="9" scale="6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FCEE0-25AF-4286-BF34-40477CC116FB}">
  <dimension ref="B1:P466"/>
  <sheetViews>
    <sheetView zoomScaleNormal="100" zoomScaleSheetLayoutView="100" workbookViewId="0">
      <selection activeCell="B8" sqref="B8:H8"/>
    </sheetView>
  </sheetViews>
  <sheetFormatPr defaultColWidth="9.140625" defaultRowHeight="12.75" x14ac:dyDescent="0.25"/>
  <cols>
    <col min="1" max="1" width="9.140625" style="15"/>
    <col min="2" max="2" width="14.28515625" style="15" customWidth="1"/>
    <col min="3" max="3" width="12" style="15" customWidth="1"/>
    <col min="4" max="4" width="60.5703125" style="15" customWidth="1"/>
    <col min="5" max="5" width="9.140625" style="15"/>
    <col min="6" max="6" width="11.85546875" style="15" customWidth="1"/>
    <col min="7" max="8" width="13.7109375" style="15" customWidth="1"/>
    <col min="9" max="9" width="3.7109375" style="38" customWidth="1"/>
    <col min="10" max="10" width="9.140625" style="38"/>
    <col min="11" max="11" width="11.85546875" style="38" bestFit="1" customWidth="1"/>
    <col min="12" max="12" width="67.42578125" style="15" customWidth="1"/>
    <col min="13" max="13" width="14.85546875" style="15" bestFit="1" customWidth="1"/>
    <col min="14" max="14" width="18" style="15" bestFit="1" customWidth="1"/>
    <col min="15" max="15" width="14.42578125" style="15" customWidth="1"/>
    <col min="16" max="16" width="14.85546875" style="15" bestFit="1" customWidth="1"/>
    <col min="17" max="16384" width="9.140625" style="15"/>
  </cols>
  <sheetData>
    <row r="1" spans="2:16" x14ac:dyDescent="0.25">
      <c r="L1" s="38"/>
    </row>
    <row r="2" spans="2:16" x14ac:dyDescent="0.25">
      <c r="L2" s="38"/>
      <c r="N2" s="15" t="s">
        <v>418</v>
      </c>
      <c r="O2" s="15" t="s">
        <v>416</v>
      </c>
      <c r="P2" s="15" t="s">
        <v>480</v>
      </c>
    </row>
    <row r="3" spans="2:16" ht="90" customHeight="1" x14ac:dyDescent="0.25">
      <c r="B3" s="526" t="str">
        <f>'PLANILHA ORÇAMENTÁRIA'!B3</f>
        <v>PREFEITURA MUNICIPAL DE ARIPUANÃ - MT
DEPARTAMENTO DE ENGENHARIA CIVIL
Praça São Francisco de Assis, 128, Caixa Postal 91 – CEP 78.325-000, 
Aripuanã – MT, Fone : (66) 3565 – 3900
www.aripuana.mt.gov.br</v>
      </c>
      <c r="C3" s="526"/>
      <c r="D3" s="526"/>
      <c r="E3" s="526"/>
      <c r="F3" s="526"/>
      <c r="G3" s="526"/>
      <c r="H3" s="526"/>
      <c r="K3" s="188">
        <v>95748</v>
      </c>
      <c r="L3" s="189" t="s">
        <v>478</v>
      </c>
      <c r="M3" s="97" t="s">
        <v>248</v>
      </c>
      <c r="N3" s="99" t="s">
        <v>332</v>
      </c>
      <c r="O3" s="99" t="s">
        <v>332</v>
      </c>
      <c r="P3" s="99" t="s">
        <v>332</v>
      </c>
    </row>
    <row r="4" spans="2:16" ht="13.15" customHeight="1" x14ac:dyDescent="0.25">
      <c r="B4" s="355" t="str">
        <f>'PMA ESQ'!B4</f>
        <v>OBRA:</v>
      </c>
      <c r="C4" s="538" t="str">
        <f>'PMA ESQ'!C4:D4</f>
        <v>RECONSTRUÇÃO DA UNIDADE BÁSICA DE SAÚDE DO DISTRITO DE CONSELVAN</v>
      </c>
      <c r="D4" s="538"/>
      <c r="E4" s="538"/>
      <c r="F4" s="539" t="s">
        <v>1764</v>
      </c>
      <c r="G4" s="539"/>
      <c r="H4" s="539"/>
      <c r="K4" s="192">
        <v>88247</v>
      </c>
      <c r="L4" s="184" t="s">
        <v>465</v>
      </c>
      <c r="M4" s="59" t="s">
        <v>54</v>
      </c>
      <c r="N4" s="59">
        <v>0.1701</v>
      </c>
      <c r="O4" s="59">
        <v>0.1701</v>
      </c>
      <c r="P4" s="59">
        <v>0.1701</v>
      </c>
    </row>
    <row r="5" spans="2:16" ht="13.15" customHeight="1" x14ac:dyDescent="0.25">
      <c r="B5" s="53" t="str">
        <f>'PMA ESQ'!B5</f>
        <v>LOCAL:</v>
      </c>
      <c r="C5" s="538" t="str">
        <f>'PMA ESQ'!C5:D5</f>
        <v>RUA GUARANTÃ, S/N, DISTRITO DE CONSELVAN, ARIPUANÃ - MT</v>
      </c>
      <c r="D5" s="538"/>
      <c r="E5" s="538"/>
      <c r="F5" s="539"/>
      <c r="G5" s="539"/>
      <c r="H5" s="539"/>
      <c r="K5" s="192">
        <v>88264</v>
      </c>
      <c r="L5" s="184" t="s">
        <v>466</v>
      </c>
      <c r="M5" s="59" t="s">
        <v>54</v>
      </c>
      <c r="N5" s="59">
        <v>0.1701</v>
      </c>
      <c r="O5" s="59">
        <v>0.1701</v>
      </c>
      <c r="P5" s="59">
        <v>0.1701</v>
      </c>
    </row>
    <row r="6" spans="2:16" ht="13.15" customHeight="1" x14ac:dyDescent="0.25">
      <c r="B6" s="53" t="str">
        <f>'PMA ESQ'!B6</f>
        <v>PROP.:</v>
      </c>
      <c r="C6" s="531" t="str">
        <f>'PMA ESQ'!C6:D6</f>
        <v>PREFEITURA MUNICIPAL DE ARIPUANÃ</v>
      </c>
      <c r="D6" s="532"/>
      <c r="E6" s="298" t="s">
        <v>44</v>
      </c>
      <c r="F6" s="297">
        <f>'MEMO CÁLCULO'!G7</f>
        <v>45020</v>
      </c>
      <c r="G6" s="193" t="s">
        <v>45</v>
      </c>
      <c r="H6" s="356">
        <f>BDI!D20</f>
        <v>0.27860000000000001</v>
      </c>
      <c r="K6" s="192">
        <v>91170</v>
      </c>
      <c r="L6" s="184" t="s">
        <v>476</v>
      </c>
      <c r="M6" s="59" t="s">
        <v>248</v>
      </c>
      <c r="N6" s="59">
        <v>1</v>
      </c>
      <c r="O6" s="59">
        <v>1</v>
      </c>
      <c r="P6" s="59">
        <v>1</v>
      </c>
    </row>
    <row r="7" spans="2:16" ht="13.15" customHeight="1" thickBot="1" x14ac:dyDescent="0.3">
      <c r="B7" s="390" t="str">
        <f>'PMA ESQ'!B7</f>
        <v>VALOR:</v>
      </c>
      <c r="C7" s="533">
        <f>'PLANILHA ORÇAMENTÁRIA'!C7</f>
        <v>3496715.07</v>
      </c>
      <c r="D7" s="534"/>
      <c r="E7" s="299" t="s">
        <v>264</v>
      </c>
      <c r="F7" s="527" t="str">
        <f>'PLANILHA ORÇAMENTÁRIA'!H6</f>
        <v xml:space="preserve">REF.: SINAPI FEV/2023 (DESONERADA)                                      </v>
      </c>
      <c r="G7" s="528"/>
      <c r="H7" s="529"/>
      <c r="K7" s="192">
        <v>95756</v>
      </c>
      <c r="L7" s="184" t="s">
        <v>479</v>
      </c>
      <c r="M7" s="59" t="s">
        <v>309</v>
      </c>
      <c r="N7" s="59">
        <v>0.33329999999999999</v>
      </c>
      <c r="O7" s="59">
        <v>0.33329999999999999</v>
      </c>
      <c r="P7" s="59">
        <v>0.33329999999999999</v>
      </c>
    </row>
    <row r="8" spans="2:16" ht="19.899999999999999" customHeight="1" thickBot="1" x14ac:dyDescent="0.3">
      <c r="B8" s="535" t="s">
        <v>46</v>
      </c>
      <c r="C8" s="536"/>
      <c r="D8" s="536"/>
      <c r="E8" s="536"/>
      <c r="F8" s="536"/>
      <c r="G8" s="536"/>
      <c r="H8" s="537"/>
      <c r="L8" s="38"/>
    </row>
    <row r="9" spans="2:16" ht="27" customHeight="1" x14ac:dyDescent="0.25">
      <c r="B9" s="530" t="s">
        <v>519</v>
      </c>
      <c r="C9" s="554" t="s">
        <v>462</v>
      </c>
      <c r="D9" s="530"/>
      <c r="E9" s="530"/>
      <c r="F9" s="530"/>
      <c r="G9" s="530"/>
      <c r="H9" s="182" t="s">
        <v>309</v>
      </c>
      <c r="L9" s="38"/>
    </row>
    <row r="10" spans="2:16" x14ac:dyDescent="0.25">
      <c r="B10" s="523"/>
      <c r="C10" s="56" t="s">
        <v>233</v>
      </c>
      <c r="D10" s="57" t="s">
        <v>234</v>
      </c>
      <c r="E10" s="57" t="s">
        <v>47</v>
      </c>
      <c r="F10" s="57" t="s">
        <v>37</v>
      </c>
      <c r="G10" s="58" t="s">
        <v>48</v>
      </c>
      <c r="H10" s="58" t="s">
        <v>235</v>
      </c>
      <c r="L10" s="38"/>
    </row>
    <row r="11" spans="2:16" x14ac:dyDescent="0.25">
      <c r="B11" s="59" t="s">
        <v>50</v>
      </c>
      <c r="C11" s="59">
        <v>88309</v>
      </c>
      <c r="D11" s="60" t="s">
        <v>281</v>
      </c>
      <c r="E11" s="59" t="s">
        <v>54</v>
      </c>
      <c r="F11" s="61">
        <v>1.6789000000000001</v>
      </c>
      <c r="G11" s="62">
        <v>21.83</v>
      </c>
      <c r="H11" s="62">
        <f t="shared" ref="H11:H16" si="0">G11*F11</f>
        <v>36.65</v>
      </c>
      <c r="L11" s="38"/>
    </row>
    <row r="12" spans="2:16" x14ac:dyDescent="0.25">
      <c r="B12" s="59" t="s">
        <v>50</v>
      </c>
      <c r="C12" s="59">
        <v>88316</v>
      </c>
      <c r="D12" s="60" t="s">
        <v>255</v>
      </c>
      <c r="E12" s="59" t="s">
        <v>54</v>
      </c>
      <c r="F12" s="61">
        <v>4.4832000000000001</v>
      </c>
      <c r="G12" s="62">
        <v>17.420000000000002</v>
      </c>
      <c r="H12" s="62">
        <f t="shared" si="0"/>
        <v>78.099999999999994</v>
      </c>
      <c r="L12" s="38"/>
    </row>
    <row r="13" spans="2:16" ht="25.5" x14ac:dyDescent="0.25">
      <c r="B13" s="59" t="s">
        <v>49</v>
      </c>
      <c r="C13" s="59">
        <v>43059</v>
      </c>
      <c r="D13" s="60" t="s">
        <v>463</v>
      </c>
      <c r="E13" s="59" t="s">
        <v>253</v>
      </c>
      <c r="F13" s="61">
        <v>2.1560000000000001</v>
      </c>
      <c r="G13" s="62">
        <v>10.09</v>
      </c>
      <c r="H13" s="62">
        <f t="shared" si="0"/>
        <v>21.75</v>
      </c>
      <c r="L13" s="38"/>
    </row>
    <row r="14" spans="2:16" x14ac:dyDescent="0.25">
      <c r="B14" s="59" t="s">
        <v>49</v>
      </c>
      <c r="C14" s="59">
        <v>370</v>
      </c>
      <c r="D14" s="60" t="s">
        <v>458</v>
      </c>
      <c r="E14" s="59" t="s">
        <v>257</v>
      </c>
      <c r="F14" s="61">
        <v>6.5299999999999997E-2</v>
      </c>
      <c r="G14" s="62">
        <v>127.95</v>
      </c>
      <c r="H14" s="62">
        <f t="shared" si="0"/>
        <v>8.36</v>
      </c>
      <c r="L14" s="38"/>
    </row>
    <row r="15" spans="2:16" x14ac:dyDescent="0.25">
      <c r="B15" s="59" t="s">
        <v>49</v>
      </c>
      <c r="C15" s="59">
        <v>1106</v>
      </c>
      <c r="D15" s="60" t="s">
        <v>459</v>
      </c>
      <c r="E15" s="59" t="s">
        <v>253</v>
      </c>
      <c r="F15" s="61">
        <v>3.0095999999999998</v>
      </c>
      <c r="G15" s="62">
        <v>0.96</v>
      </c>
      <c r="H15" s="62">
        <f t="shared" si="0"/>
        <v>2.89</v>
      </c>
      <c r="L15" s="38"/>
    </row>
    <row r="16" spans="2:16" x14ac:dyDescent="0.25">
      <c r="B16" s="59" t="s">
        <v>49</v>
      </c>
      <c r="C16" s="59">
        <v>1379</v>
      </c>
      <c r="D16" s="60" t="s">
        <v>460</v>
      </c>
      <c r="E16" s="59" t="s">
        <v>253</v>
      </c>
      <c r="F16" s="61">
        <v>18.508400000000002</v>
      </c>
      <c r="G16" s="62">
        <v>0.94</v>
      </c>
      <c r="H16" s="62">
        <f t="shared" si="0"/>
        <v>17.399999999999999</v>
      </c>
      <c r="L16" s="38"/>
    </row>
    <row r="17" spans="2:14" x14ac:dyDescent="0.25">
      <c r="B17" s="559" t="s">
        <v>461</v>
      </c>
      <c r="C17" s="559"/>
      <c r="D17" s="559"/>
      <c r="E17" s="154"/>
      <c r="F17" s="154"/>
      <c r="G17" s="155" t="s">
        <v>5</v>
      </c>
      <c r="H17" s="235">
        <f>SUM(H11:H16)</f>
        <v>165.15</v>
      </c>
      <c r="J17" s="38" t="s">
        <v>975</v>
      </c>
      <c r="L17" s="38"/>
    </row>
    <row r="18" spans="2:14" x14ac:dyDescent="0.25">
      <c r="B18" s="522"/>
      <c r="C18" s="522"/>
      <c r="D18" s="522"/>
      <c r="E18" s="522"/>
      <c r="F18" s="522"/>
      <c r="G18" s="522"/>
      <c r="H18" s="522"/>
      <c r="L18" s="38"/>
    </row>
    <row r="19" spans="2:14" ht="27" customHeight="1" x14ac:dyDescent="0.25">
      <c r="B19" s="523" t="s">
        <v>518</v>
      </c>
      <c r="C19" s="540" t="s">
        <v>978</v>
      </c>
      <c r="D19" s="523"/>
      <c r="E19" s="523"/>
      <c r="F19" s="523"/>
      <c r="G19" s="523"/>
      <c r="H19" s="96" t="s">
        <v>309</v>
      </c>
      <c r="L19" s="38"/>
    </row>
    <row r="20" spans="2:14" x14ac:dyDescent="0.25">
      <c r="B20" s="523"/>
      <c r="C20" s="56" t="s">
        <v>233</v>
      </c>
      <c r="D20" s="57" t="s">
        <v>234</v>
      </c>
      <c r="E20" s="57" t="s">
        <v>47</v>
      </c>
      <c r="F20" s="57" t="s">
        <v>37</v>
      </c>
      <c r="G20" s="58" t="s">
        <v>48</v>
      </c>
      <c r="H20" s="58" t="s">
        <v>235</v>
      </c>
      <c r="L20" s="38"/>
    </row>
    <row r="21" spans="2:14" ht="38.25" x14ac:dyDescent="0.25">
      <c r="B21" s="65" t="s">
        <v>49</v>
      </c>
      <c r="C21" s="65">
        <v>2488</v>
      </c>
      <c r="D21" s="66" t="s">
        <v>979</v>
      </c>
      <c r="E21" s="65" t="s">
        <v>309</v>
      </c>
      <c r="F21" s="67">
        <v>1</v>
      </c>
      <c r="G21" s="68">
        <v>2.2000000000000002</v>
      </c>
      <c r="H21" s="68">
        <f>G21*F21</f>
        <v>2.2000000000000002</v>
      </c>
      <c r="L21" s="38"/>
    </row>
    <row r="22" spans="2:14" x14ac:dyDescent="0.25">
      <c r="B22" s="59" t="s">
        <v>296</v>
      </c>
      <c r="C22" s="59">
        <v>88247</v>
      </c>
      <c r="D22" s="60" t="s">
        <v>465</v>
      </c>
      <c r="E22" s="59" t="s">
        <v>54</v>
      </c>
      <c r="F22" s="61">
        <v>0.1057</v>
      </c>
      <c r="G22" s="62">
        <v>18.809999999999999</v>
      </c>
      <c r="H22" s="68">
        <f>G22*F22</f>
        <v>1.99</v>
      </c>
      <c r="L22" s="38"/>
    </row>
    <row r="23" spans="2:14" x14ac:dyDescent="0.25">
      <c r="B23" s="59" t="s">
        <v>296</v>
      </c>
      <c r="C23" s="59">
        <v>88264</v>
      </c>
      <c r="D23" s="60" t="s">
        <v>466</v>
      </c>
      <c r="E23" s="59" t="s">
        <v>54</v>
      </c>
      <c r="F23" s="61">
        <v>0.1057</v>
      </c>
      <c r="G23" s="62">
        <v>22.67</v>
      </c>
      <c r="H23" s="68">
        <f>G23*F23</f>
        <v>2.4</v>
      </c>
      <c r="L23" s="38"/>
    </row>
    <row r="24" spans="2:14" x14ac:dyDescent="0.25">
      <c r="B24" s="559" t="s">
        <v>977</v>
      </c>
      <c r="C24" s="559"/>
      <c r="D24" s="559"/>
      <c r="E24" s="154"/>
      <c r="F24" s="154"/>
      <c r="G24" s="155" t="s">
        <v>5</v>
      </c>
      <c r="H24" s="235">
        <f>SUM(H21:H23)</f>
        <v>6.59</v>
      </c>
      <c r="J24" s="38" t="s">
        <v>975</v>
      </c>
      <c r="L24" s="38"/>
    </row>
    <row r="25" spans="2:14" x14ac:dyDescent="0.25">
      <c r="B25" s="522"/>
      <c r="C25" s="522"/>
      <c r="D25" s="522"/>
      <c r="E25" s="522"/>
      <c r="F25" s="522"/>
      <c r="G25" s="522"/>
      <c r="H25" s="522"/>
      <c r="L25" s="38"/>
    </row>
    <row r="26" spans="2:14" ht="27" customHeight="1" x14ac:dyDescent="0.25">
      <c r="B26" s="523" t="s">
        <v>517</v>
      </c>
      <c r="C26" s="540" t="s">
        <v>974</v>
      </c>
      <c r="D26" s="523"/>
      <c r="E26" s="523"/>
      <c r="F26" s="523"/>
      <c r="G26" s="523"/>
      <c r="H26" s="96" t="s">
        <v>309</v>
      </c>
      <c r="L26" s="38"/>
    </row>
    <row r="27" spans="2:14" x14ac:dyDescent="0.25">
      <c r="B27" s="523"/>
      <c r="C27" s="56" t="s">
        <v>233</v>
      </c>
      <c r="D27" s="57" t="s">
        <v>234</v>
      </c>
      <c r="E27" s="57" t="s">
        <v>47</v>
      </c>
      <c r="F27" s="57" t="s">
        <v>37</v>
      </c>
      <c r="G27" s="58" t="s">
        <v>48</v>
      </c>
      <c r="H27" s="58" t="s">
        <v>235</v>
      </c>
      <c r="L27" s="38"/>
    </row>
    <row r="28" spans="2:14" ht="25.5" x14ac:dyDescent="0.25">
      <c r="B28" s="65" t="s">
        <v>49</v>
      </c>
      <c r="C28" s="65">
        <v>39772</v>
      </c>
      <c r="D28" s="66" t="s">
        <v>973</v>
      </c>
      <c r="E28" s="65" t="s">
        <v>309</v>
      </c>
      <c r="F28" s="185">
        <v>1</v>
      </c>
      <c r="G28" s="68">
        <v>72.62</v>
      </c>
      <c r="H28" s="68">
        <f>G28*F28</f>
        <v>72.62</v>
      </c>
      <c r="K28" s="38">
        <v>91170</v>
      </c>
      <c r="L28" s="38" t="s">
        <v>476</v>
      </c>
      <c r="M28" s="177" t="s">
        <v>248</v>
      </c>
      <c r="N28" s="177">
        <v>1</v>
      </c>
    </row>
    <row r="29" spans="2:14" x14ac:dyDescent="0.25">
      <c r="B29" s="59" t="s">
        <v>296</v>
      </c>
      <c r="C29" s="59">
        <v>88247</v>
      </c>
      <c r="D29" s="60" t="s">
        <v>465</v>
      </c>
      <c r="E29" s="59" t="s">
        <v>54</v>
      </c>
      <c r="F29" s="59">
        <f>0.346*2</f>
        <v>0.69199999999999995</v>
      </c>
      <c r="G29" s="62">
        <f>G22</f>
        <v>18.809999999999999</v>
      </c>
      <c r="H29" s="68">
        <f>G29*F29</f>
        <v>13.02</v>
      </c>
      <c r="K29" s="38">
        <v>88247</v>
      </c>
      <c r="L29" s="38" t="s">
        <v>465</v>
      </c>
      <c r="M29" s="177" t="s">
        <v>54</v>
      </c>
      <c r="N29" s="177">
        <v>0.17</v>
      </c>
    </row>
    <row r="30" spans="2:14" x14ac:dyDescent="0.25">
      <c r="B30" s="59" t="s">
        <v>296</v>
      </c>
      <c r="C30" s="59">
        <v>88264</v>
      </c>
      <c r="D30" s="60" t="s">
        <v>466</v>
      </c>
      <c r="E30" s="59" t="s">
        <v>54</v>
      </c>
      <c r="F30" s="59">
        <f>0.346*2</f>
        <v>0.69199999999999995</v>
      </c>
      <c r="G30" s="62">
        <f>G23</f>
        <v>22.67</v>
      </c>
      <c r="H30" s="68">
        <f>G30*F30</f>
        <v>15.69</v>
      </c>
      <c r="K30" s="38">
        <v>21130</v>
      </c>
      <c r="L30" s="38" t="s">
        <v>716</v>
      </c>
      <c r="M30" s="177" t="s">
        <v>248</v>
      </c>
      <c r="N30" s="177">
        <v>1.05</v>
      </c>
    </row>
    <row r="31" spans="2:14" x14ac:dyDescent="0.25">
      <c r="B31" s="559" t="s">
        <v>940</v>
      </c>
      <c r="C31" s="559"/>
      <c r="D31" s="559"/>
      <c r="E31" s="154"/>
      <c r="F31" s="154"/>
      <c r="G31" s="155" t="s">
        <v>5</v>
      </c>
      <c r="H31" s="235">
        <f>SUM(H28:H30)</f>
        <v>101.33</v>
      </c>
      <c r="K31" s="38">
        <v>88264</v>
      </c>
      <c r="L31" s="38" t="s">
        <v>466</v>
      </c>
      <c r="M31" s="177" t="s">
        <v>54</v>
      </c>
      <c r="N31" s="177">
        <v>0.17</v>
      </c>
    </row>
    <row r="32" spans="2:14" x14ac:dyDescent="0.25">
      <c r="B32" s="522"/>
      <c r="C32" s="522"/>
      <c r="D32" s="522"/>
      <c r="E32" s="522"/>
      <c r="F32" s="522"/>
      <c r="G32" s="522"/>
      <c r="H32" s="522"/>
      <c r="K32" s="38">
        <v>95756</v>
      </c>
      <c r="L32" s="38" t="s">
        <v>479</v>
      </c>
      <c r="M32" s="177" t="s">
        <v>309</v>
      </c>
      <c r="N32" s="177">
        <v>0.33</v>
      </c>
    </row>
    <row r="33" spans="2:12" ht="27" customHeight="1" x14ac:dyDescent="0.25">
      <c r="B33" s="523" t="s">
        <v>516</v>
      </c>
      <c r="C33" s="540" t="s">
        <v>976</v>
      </c>
      <c r="D33" s="523"/>
      <c r="E33" s="523"/>
      <c r="F33" s="523"/>
      <c r="G33" s="523"/>
      <c r="H33" s="96" t="s">
        <v>309</v>
      </c>
      <c r="L33" s="38"/>
    </row>
    <row r="34" spans="2:12" x14ac:dyDescent="0.25">
      <c r="B34" s="523"/>
      <c r="C34" s="56" t="s">
        <v>233</v>
      </c>
      <c r="D34" s="57" t="s">
        <v>234</v>
      </c>
      <c r="E34" s="57" t="s">
        <v>47</v>
      </c>
      <c r="F34" s="57" t="s">
        <v>37</v>
      </c>
      <c r="G34" s="58" t="s">
        <v>48</v>
      </c>
      <c r="H34" s="58" t="s">
        <v>235</v>
      </c>
      <c r="L34" s="38"/>
    </row>
    <row r="35" spans="2:12" x14ac:dyDescent="0.25">
      <c r="B35" s="65" t="s">
        <v>49</v>
      </c>
      <c r="C35" s="65">
        <v>39175</v>
      </c>
      <c r="D35" s="66" t="s">
        <v>468</v>
      </c>
      <c r="E35" s="65" t="s">
        <v>309</v>
      </c>
      <c r="F35" s="67">
        <v>1</v>
      </c>
      <c r="G35" s="68">
        <v>1.17</v>
      </c>
      <c r="H35" s="68">
        <f>G35*F35</f>
        <v>1.17</v>
      </c>
      <c r="L35" s="38"/>
    </row>
    <row r="36" spans="2:12" x14ac:dyDescent="0.25">
      <c r="B36" s="59" t="s">
        <v>296</v>
      </c>
      <c r="C36" s="59">
        <v>88247</v>
      </c>
      <c r="D36" s="60" t="s">
        <v>465</v>
      </c>
      <c r="E36" s="59" t="s">
        <v>54</v>
      </c>
      <c r="F36" s="61">
        <v>0.1057</v>
      </c>
      <c r="G36" s="62">
        <f>G29</f>
        <v>18.809999999999999</v>
      </c>
      <c r="H36" s="68">
        <f>G36*F36</f>
        <v>1.99</v>
      </c>
      <c r="L36" s="38"/>
    </row>
    <row r="37" spans="2:12" x14ac:dyDescent="0.25">
      <c r="B37" s="59" t="s">
        <v>296</v>
      </c>
      <c r="C37" s="59">
        <v>88264</v>
      </c>
      <c r="D37" s="60" t="s">
        <v>466</v>
      </c>
      <c r="E37" s="59" t="s">
        <v>54</v>
      </c>
      <c r="F37" s="61">
        <v>0.1057</v>
      </c>
      <c r="G37" s="62">
        <f>G30</f>
        <v>22.67</v>
      </c>
      <c r="H37" s="68">
        <f>G37*F37</f>
        <v>2.4</v>
      </c>
      <c r="L37" s="38"/>
    </row>
    <row r="38" spans="2:12" x14ac:dyDescent="0.25">
      <c r="B38" s="559" t="s">
        <v>977</v>
      </c>
      <c r="C38" s="559"/>
      <c r="D38" s="559"/>
      <c r="E38" s="154"/>
      <c r="F38" s="154"/>
      <c r="G38" s="155" t="s">
        <v>5</v>
      </c>
      <c r="H38" s="235">
        <f>SUM(H35:H37)</f>
        <v>5.56</v>
      </c>
      <c r="L38" s="38"/>
    </row>
    <row r="39" spans="2:12" x14ac:dyDescent="0.25">
      <c r="B39" s="522"/>
      <c r="C39" s="522"/>
      <c r="D39" s="522"/>
      <c r="E39" s="522"/>
      <c r="F39" s="522"/>
      <c r="G39" s="522"/>
      <c r="H39" s="522"/>
      <c r="L39" s="38"/>
    </row>
    <row r="40" spans="2:12" ht="27" customHeight="1" x14ac:dyDescent="0.25">
      <c r="B40" s="449" t="s">
        <v>515</v>
      </c>
      <c r="C40" s="540" t="s">
        <v>1110</v>
      </c>
      <c r="D40" s="523"/>
      <c r="E40" s="523"/>
      <c r="F40" s="523"/>
      <c r="G40" s="523"/>
      <c r="H40" s="96" t="s">
        <v>248</v>
      </c>
      <c r="L40" s="38"/>
    </row>
    <row r="41" spans="2:12" x14ac:dyDescent="0.25">
      <c r="B41" s="449"/>
      <c r="C41" s="56" t="s">
        <v>233</v>
      </c>
      <c r="D41" s="57" t="s">
        <v>234</v>
      </c>
      <c r="E41" s="57" t="s">
        <v>47</v>
      </c>
      <c r="F41" s="57" t="s">
        <v>37</v>
      </c>
      <c r="G41" s="58" t="s">
        <v>48</v>
      </c>
      <c r="H41" s="58" t="s">
        <v>235</v>
      </c>
      <c r="L41" s="38"/>
    </row>
    <row r="42" spans="2:12" x14ac:dyDescent="0.25">
      <c r="B42" s="21" t="s">
        <v>49</v>
      </c>
      <c r="C42" s="21">
        <v>2681</v>
      </c>
      <c r="D42" s="223" t="s">
        <v>1111</v>
      </c>
      <c r="E42" s="21" t="s">
        <v>248</v>
      </c>
      <c r="F42" s="21" t="s">
        <v>1112</v>
      </c>
      <c r="G42" s="68">
        <v>20.100000000000001</v>
      </c>
      <c r="H42" s="68">
        <f>G42*F42</f>
        <v>20.440000000000001</v>
      </c>
      <c r="J42" s="38" t="s">
        <v>324</v>
      </c>
      <c r="L42" s="38"/>
    </row>
    <row r="43" spans="2:12" x14ac:dyDescent="0.25">
      <c r="B43" s="21" t="s">
        <v>296</v>
      </c>
      <c r="C43" s="21">
        <v>88247</v>
      </c>
      <c r="D43" s="223" t="s">
        <v>465</v>
      </c>
      <c r="E43" s="21" t="s">
        <v>54</v>
      </c>
      <c r="F43" s="21" t="s">
        <v>1113</v>
      </c>
      <c r="G43" s="68">
        <f>G36</f>
        <v>18.809999999999999</v>
      </c>
      <c r="H43" s="68">
        <f>G43*F43</f>
        <v>4.16</v>
      </c>
      <c r="L43" s="38"/>
    </row>
    <row r="44" spans="2:12" x14ac:dyDescent="0.25">
      <c r="B44" s="21" t="s">
        <v>296</v>
      </c>
      <c r="C44" s="21" t="s">
        <v>553</v>
      </c>
      <c r="D44" s="223" t="s">
        <v>466</v>
      </c>
      <c r="E44" s="21" t="s">
        <v>54</v>
      </c>
      <c r="F44" s="21" t="s">
        <v>1113</v>
      </c>
      <c r="G44" s="68">
        <f>G37</f>
        <v>22.67</v>
      </c>
      <c r="H44" s="68">
        <f>G44*F44</f>
        <v>5.01</v>
      </c>
      <c r="L44" s="38"/>
    </row>
    <row r="45" spans="2:12" ht="51" x14ac:dyDescent="0.25">
      <c r="B45" s="65" t="s">
        <v>50</v>
      </c>
      <c r="C45" s="65">
        <v>91171</v>
      </c>
      <c r="D45" s="66" t="s">
        <v>715</v>
      </c>
      <c r="E45" s="65" t="s">
        <v>248</v>
      </c>
      <c r="F45" s="67">
        <v>1</v>
      </c>
      <c r="G45" s="68">
        <v>3.89</v>
      </c>
      <c r="H45" s="68">
        <f>G45*F45</f>
        <v>3.89</v>
      </c>
      <c r="L45" s="38"/>
    </row>
    <row r="46" spans="2:12" ht="38.25" x14ac:dyDescent="0.25">
      <c r="B46" s="65" t="s">
        <v>50</v>
      </c>
      <c r="C46" s="65">
        <v>93013</v>
      </c>
      <c r="D46" s="66" t="s">
        <v>1114</v>
      </c>
      <c r="E46" s="65" t="s">
        <v>309</v>
      </c>
      <c r="F46" s="67">
        <v>0.33</v>
      </c>
      <c r="G46" s="68">
        <v>13.22</v>
      </c>
      <c r="H46" s="68">
        <f>G46*F46</f>
        <v>4.3600000000000003</v>
      </c>
      <c r="L46" s="38"/>
    </row>
    <row r="47" spans="2:12" x14ac:dyDescent="0.25">
      <c r="B47" s="559" t="s">
        <v>1115</v>
      </c>
      <c r="C47" s="559"/>
      <c r="D47" s="559"/>
      <c r="E47" s="154"/>
      <c r="F47" s="154"/>
      <c r="G47" s="155" t="s">
        <v>5</v>
      </c>
      <c r="H47" s="235">
        <f>SUM(H42:H46)</f>
        <v>37.86</v>
      </c>
      <c r="L47" s="38"/>
    </row>
    <row r="48" spans="2:12" x14ac:dyDescent="0.25">
      <c r="B48" s="522"/>
      <c r="C48" s="522"/>
      <c r="D48" s="522"/>
      <c r="E48" s="522"/>
      <c r="F48" s="522"/>
      <c r="G48" s="522"/>
      <c r="H48" s="522"/>
      <c r="L48" s="38"/>
    </row>
    <row r="49" spans="2:12" ht="27" customHeight="1" x14ac:dyDescent="0.25">
      <c r="B49" s="449" t="s">
        <v>514</v>
      </c>
      <c r="C49" s="540" t="s">
        <v>1116</v>
      </c>
      <c r="D49" s="523"/>
      <c r="E49" s="523"/>
      <c r="F49" s="523"/>
      <c r="G49" s="523"/>
      <c r="H49" s="96" t="s">
        <v>248</v>
      </c>
      <c r="L49" s="38"/>
    </row>
    <row r="50" spans="2:12" x14ac:dyDescent="0.25">
      <c r="B50" s="449"/>
      <c r="C50" s="56" t="s">
        <v>233</v>
      </c>
      <c r="D50" s="57" t="s">
        <v>234</v>
      </c>
      <c r="E50" s="57" t="s">
        <v>47</v>
      </c>
      <c r="F50" s="57" t="s">
        <v>37</v>
      </c>
      <c r="G50" s="58" t="s">
        <v>48</v>
      </c>
      <c r="H50" s="58" t="s">
        <v>235</v>
      </c>
      <c r="L50" s="38"/>
    </row>
    <row r="51" spans="2:12" ht="38.25" x14ac:dyDescent="0.25">
      <c r="B51" s="59" t="s">
        <v>50</v>
      </c>
      <c r="C51" s="21">
        <v>91871</v>
      </c>
      <c r="D51" s="223" t="s">
        <v>1117</v>
      </c>
      <c r="E51" s="21" t="s">
        <v>248</v>
      </c>
      <c r="F51" s="236">
        <v>1</v>
      </c>
      <c r="G51" s="68">
        <v>12.51</v>
      </c>
      <c r="H51" s="68">
        <f>G51*F51</f>
        <v>12.51</v>
      </c>
      <c r="L51" s="38"/>
    </row>
    <row r="52" spans="2:12" ht="25.5" x14ac:dyDescent="0.25">
      <c r="B52" s="59" t="s">
        <v>50</v>
      </c>
      <c r="C52" s="21" t="s">
        <v>1118</v>
      </c>
      <c r="D52" s="223" t="s">
        <v>1119</v>
      </c>
      <c r="E52" s="59" t="s">
        <v>248</v>
      </c>
      <c r="F52" s="67">
        <v>1</v>
      </c>
      <c r="G52" s="62">
        <v>5.52</v>
      </c>
      <c r="H52" s="68">
        <f>G52*F52</f>
        <v>5.52</v>
      </c>
      <c r="L52" s="38"/>
    </row>
    <row r="53" spans="2:12" ht="38.25" x14ac:dyDescent="0.25">
      <c r="B53" s="21" t="s">
        <v>296</v>
      </c>
      <c r="C53" s="21" t="s">
        <v>1120</v>
      </c>
      <c r="D53" s="223" t="s">
        <v>1121</v>
      </c>
      <c r="E53" s="21" t="s">
        <v>248</v>
      </c>
      <c r="F53" s="67">
        <v>1</v>
      </c>
      <c r="G53" s="62">
        <v>11.66</v>
      </c>
      <c r="H53" s="68">
        <f>G53*F53</f>
        <v>11.66</v>
      </c>
      <c r="L53" s="38"/>
    </row>
    <row r="54" spans="2:12" ht="38.25" x14ac:dyDescent="0.25">
      <c r="B54" s="59" t="s">
        <v>50</v>
      </c>
      <c r="C54" s="59">
        <v>91875</v>
      </c>
      <c r="D54" s="60" t="s">
        <v>1122</v>
      </c>
      <c r="E54" s="59" t="s">
        <v>309</v>
      </c>
      <c r="F54" s="67">
        <v>0.33</v>
      </c>
      <c r="G54" s="62">
        <v>5.75</v>
      </c>
      <c r="H54" s="68">
        <f>G54*F54</f>
        <v>1.9</v>
      </c>
      <c r="L54" s="38"/>
    </row>
    <row r="55" spans="2:12" x14ac:dyDescent="0.25">
      <c r="B55" s="559" t="s">
        <v>1123</v>
      </c>
      <c r="C55" s="559"/>
      <c r="D55" s="559"/>
      <c r="E55" s="154"/>
      <c r="F55" s="154"/>
      <c r="G55" s="155" t="s">
        <v>5</v>
      </c>
      <c r="H55" s="235">
        <f>SUM(H51:H54)</f>
        <v>31.59</v>
      </c>
      <c r="I55" s="148"/>
      <c r="L55" s="38"/>
    </row>
    <row r="56" spans="2:12" x14ac:dyDescent="0.25">
      <c r="B56" s="522"/>
      <c r="C56" s="522"/>
      <c r="D56" s="522"/>
      <c r="E56" s="522"/>
      <c r="F56" s="522"/>
      <c r="G56" s="522"/>
      <c r="H56" s="522"/>
      <c r="L56" s="38"/>
    </row>
    <row r="57" spans="2:12" ht="27" customHeight="1" x14ac:dyDescent="0.25">
      <c r="B57" s="449" t="s">
        <v>513</v>
      </c>
      <c r="C57" s="540" t="s">
        <v>1124</v>
      </c>
      <c r="D57" s="523"/>
      <c r="E57" s="523"/>
      <c r="F57" s="523"/>
      <c r="G57" s="523"/>
      <c r="H57" s="96" t="s">
        <v>248</v>
      </c>
      <c r="L57" s="38"/>
    </row>
    <row r="58" spans="2:12" x14ac:dyDescent="0.25">
      <c r="B58" s="449"/>
      <c r="C58" s="56" t="s">
        <v>233</v>
      </c>
      <c r="D58" s="57" t="s">
        <v>234</v>
      </c>
      <c r="E58" s="57" t="s">
        <v>47</v>
      </c>
      <c r="F58" s="57" t="s">
        <v>37</v>
      </c>
      <c r="G58" s="58" t="s">
        <v>48</v>
      </c>
      <c r="H58" s="58" t="s">
        <v>235</v>
      </c>
      <c r="L58" s="38"/>
    </row>
    <row r="59" spans="2:12" ht="38.25" x14ac:dyDescent="0.25">
      <c r="B59" s="65" t="s">
        <v>50</v>
      </c>
      <c r="C59" s="65">
        <v>91872</v>
      </c>
      <c r="D59" s="66" t="s">
        <v>1125</v>
      </c>
      <c r="E59" s="65" t="s">
        <v>248</v>
      </c>
      <c r="F59" s="67">
        <v>1</v>
      </c>
      <c r="G59" s="68">
        <v>16.57</v>
      </c>
      <c r="H59" s="68">
        <f>G59*F59</f>
        <v>16.57</v>
      </c>
      <c r="L59" s="38"/>
    </row>
    <row r="60" spans="2:12" ht="25.5" x14ac:dyDescent="0.25">
      <c r="B60" s="59" t="s">
        <v>50</v>
      </c>
      <c r="C60" s="21">
        <v>90447</v>
      </c>
      <c r="D60" s="223" t="s">
        <v>1119</v>
      </c>
      <c r="E60" s="59" t="s">
        <v>248</v>
      </c>
      <c r="F60" s="67">
        <v>1</v>
      </c>
      <c r="G60" s="62">
        <f>G52</f>
        <v>5.52</v>
      </c>
      <c r="H60" s="68">
        <f>G60*F60</f>
        <v>5.52</v>
      </c>
      <c r="L60" s="38"/>
    </row>
    <row r="61" spans="2:12" ht="38.25" x14ac:dyDescent="0.25">
      <c r="B61" s="21" t="s">
        <v>296</v>
      </c>
      <c r="C61" s="21" t="s">
        <v>1120</v>
      </c>
      <c r="D61" s="223" t="s">
        <v>1121</v>
      </c>
      <c r="E61" s="21" t="s">
        <v>248</v>
      </c>
      <c r="F61" s="67">
        <v>1</v>
      </c>
      <c r="G61" s="62">
        <v>23.86</v>
      </c>
      <c r="H61" s="68">
        <f>G61*F61</f>
        <v>23.86</v>
      </c>
      <c r="L61" s="38"/>
    </row>
    <row r="62" spans="2:12" ht="38.25" x14ac:dyDescent="0.25">
      <c r="B62" s="59" t="s">
        <v>50</v>
      </c>
      <c r="C62" s="59">
        <v>91876</v>
      </c>
      <c r="D62" s="60" t="s">
        <v>1126</v>
      </c>
      <c r="E62" s="59" t="s">
        <v>309</v>
      </c>
      <c r="F62" s="67">
        <v>0.33</v>
      </c>
      <c r="G62" s="62">
        <v>7.6</v>
      </c>
      <c r="H62" s="68">
        <f>G62*F62</f>
        <v>2.5099999999999998</v>
      </c>
      <c r="L62" s="38"/>
    </row>
    <row r="63" spans="2:12" x14ac:dyDescent="0.25">
      <c r="B63" s="559" t="s">
        <v>1127</v>
      </c>
      <c r="C63" s="559"/>
      <c r="D63" s="559"/>
      <c r="E63" s="154"/>
      <c r="F63" s="154"/>
      <c r="G63" s="155" t="s">
        <v>5</v>
      </c>
      <c r="H63" s="235">
        <f>SUM(H59:H62)</f>
        <v>48.46</v>
      </c>
      <c r="I63" s="148"/>
      <c r="L63" s="38"/>
    </row>
    <row r="64" spans="2:12" x14ac:dyDescent="0.25">
      <c r="B64" s="522"/>
      <c r="C64" s="522"/>
      <c r="D64" s="522"/>
      <c r="E64" s="522"/>
      <c r="F64" s="522"/>
      <c r="G64" s="522"/>
      <c r="H64" s="522"/>
      <c r="L64" s="38"/>
    </row>
    <row r="65" spans="2:12" ht="27" customHeight="1" x14ac:dyDescent="0.25">
      <c r="B65" s="449" t="s">
        <v>512</v>
      </c>
      <c r="C65" s="540" t="s">
        <v>1128</v>
      </c>
      <c r="D65" s="523"/>
      <c r="E65" s="523"/>
      <c r="F65" s="523"/>
      <c r="G65" s="523"/>
      <c r="H65" s="96" t="s">
        <v>248</v>
      </c>
      <c r="L65" s="38"/>
    </row>
    <row r="66" spans="2:12" x14ac:dyDescent="0.25">
      <c r="B66" s="449"/>
      <c r="C66" s="56" t="s">
        <v>233</v>
      </c>
      <c r="D66" s="57" t="s">
        <v>234</v>
      </c>
      <c r="E66" s="57" t="s">
        <v>47</v>
      </c>
      <c r="F66" s="57" t="s">
        <v>37</v>
      </c>
      <c r="G66" s="58" t="s">
        <v>48</v>
      </c>
      <c r="H66" s="58" t="s">
        <v>235</v>
      </c>
      <c r="L66" s="38"/>
    </row>
    <row r="67" spans="2:12" ht="38.25" x14ac:dyDescent="0.25">
      <c r="B67" s="65" t="s">
        <v>50</v>
      </c>
      <c r="C67" s="65">
        <v>93012</v>
      </c>
      <c r="D67" s="224" t="s">
        <v>1129</v>
      </c>
      <c r="E67" s="65" t="s">
        <v>248</v>
      </c>
      <c r="F67" s="67">
        <v>1</v>
      </c>
      <c r="G67" s="68">
        <v>72.56</v>
      </c>
      <c r="H67" s="68">
        <f>G67*F67</f>
        <v>72.56</v>
      </c>
      <c r="L67" s="38"/>
    </row>
    <row r="68" spans="2:12" x14ac:dyDescent="0.25">
      <c r="B68" s="59" t="s">
        <v>50</v>
      </c>
      <c r="C68" s="59">
        <v>88247</v>
      </c>
      <c r="D68" s="60" t="s">
        <v>465</v>
      </c>
      <c r="E68" s="59" t="s">
        <v>54</v>
      </c>
      <c r="F68" s="67">
        <v>1</v>
      </c>
      <c r="G68" s="68">
        <f>G43</f>
        <v>18.809999999999999</v>
      </c>
      <c r="H68" s="68">
        <f>G68*F68</f>
        <v>18.809999999999999</v>
      </c>
      <c r="L68" s="38"/>
    </row>
    <row r="69" spans="2:12" x14ac:dyDescent="0.25">
      <c r="B69" s="59" t="s">
        <v>50</v>
      </c>
      <c r="C69" s="59">
        <v>88264</v>
      </c>
      <c r="D69" s="60" t="s">
        <v>466</v>
      </c>
      <c r="E69" s="59" t="s">
        <v>54</v>
      </c>
      <c r="F69" s="67">
        <v>1</v>
      </c>
      <c r="G69" s="68">
        <f>G44</f>
        <v>22.67</v>
      </c>
      <c r="H69" s="68">
        <f>G69*F69</f>
        <v>22.67</v>
      </c>
      <c r="L69" s="38"/>
    </row>
    <row r="70" spans="2:12" ht="51" x14ac:dyDescent="0.25">
      <c r="B70" s="65" t="s">
        <v>50</v>
      </c>
      <c r="C70" s="65">
        <v>91172</v>
      </c>
      <c r="D70" s="66" t="s">
        <v>717</v>
      </c>
      <c r="E70" s="65" t="s">
        <v>248</v>
      </c>
      <c r="F70" s="67">
        <v>1</v>
      </c>
      <c r="G70" s="68">
        <v>5.71</v>
      </c>
      <c r="H70" s="68">
        <f>G70*F70</f>
        <v>5.71</v>
      </c>
      <c r="I70" s="146"/>
      <c r="L70" s="38"/>
    </row>
    <row r="71" spans="2:12" x14ac:dyDescent="0.25">
      <c r="B71" s="65" t="s">
        <v>49</v>
      </c>
      <c r="C71" s="65">
        <v>1895</v>
      </c>
      <c r="D71" s="66" t="s">
        <v>1130</v>
      </c>
      <c r="E71" s="65" t="s">
        <v>309</v>
      </c>
      <c r="F71" s="67">
        <v>0.33</v>
      </c>
      <c r="G71" s="68">
        <v>29.82</v>
      </c>
      <c r="H71" s="68">
        <f>G71*F71</f>
        <v>9.84</v>
      </c>
      <c r="I71" s="146"/>
      <c r="L71" s="38"/>
    </row>
    <row r="72" spans="2:12" x14ac:dyDescent="0.25">
      <c r="B72" s="559" t="s">
        <v>1131</v>
      </c>
      <c r="C72" s="559"/>
      <c r="D72" s="559"/>
      <c r="E72" s="154"/>
      <c r="F72" s="154"/>
      <c r="G72" s="155" t="s">
        <v>5</v>
      </c>
      <c r="H72" s="235">
        <f>SUM(H67:H71)</f>
        <v>129.59</v>
      </c>
      <c r="I72" s="148"/>
      <c r="L72" s="38"/>
    </row>
    <row r="73" spans="2:12" x14ac:dyDescent="0.25">
      <c r="B73" s="522"/>
      <c r="C73" s="522"/>
      <c r="D73" s="522"/>
      <c r="E73" s="522"/>
      <c r="F73" s="522"/>
      <c r="G73" s="522"/>
      <c r="H73" s="522"/>
      <c r="L73" s="38"/>
    </row>
    <row r="74" spans="2:12" ht="27" customHeight="1" x14ac:dyDescent="0.25">
      <c r="B74" s="523" t="s">
        <v>511</v>
      </c>
      <c r="C74" s="540" t="s">
        <v>1009</v>
      </c>
      <c r="D74" s="523"/>
      <c r="E74" s="523"/>
      <c r="F74" s="523"/>
      <c r="G74" s="523"/>
      <c r="H74" s="96" t="s">
        <v>248</v>
      </c>
      <c r="L74" s="38"/>
    </row>
    <row r="75" spans="2:12" x14ac:dyDescent="0.25">
      <c r="B75" s="523"/>
      <c r="C75" s="56" t="s">
        <v>233</v>
      </c>
      <c r="D75" s="57" t="s">
        <v>234</v>
      </c>
      <c r="E75" s="57" t="s">
        <v>47</v>
      </c>
      <c r="F75" s="57" t="s">
        <v>37</v>
      </c>
      <c r="G75" s="58" t="s">
        <v>48</v>
      </c>
      <c r="H75" s="58" t="s">
        <v>235</v>
      </c>
      <c r="L75" s="38"/>
    </row>
    <row r="76" spans="2:12" x14ac:dyDescent="0.25">
      <c r="B76" s="59" t="s">
        <v>50</v>
      </c>
      <c r="C76" s="59">
        <v>88247</v>
      </c>
      <c r="D76" s="60" t="s">
        <v>465</v>
      </c>
      <c r="E76" s="59" t="s">
        <v>54</v>
      </c>
      <c r="F76" s="61">
        <v>0.9</v>
      </c>
      <c r="G76" s="62">
        <f>G68</f>
        <v>18.809999999999999</v>
      </c>
      <c r="H76" s="68">
        <f>G76*F76</f>
        <v>16.93</v>
      </c>
      <c r="L76" s="38"/>
    </row>
    <row r="77" spans="2:12" x14ac:dyDescent="0.25">
      <c r="B77" s="59" t="s">
        <v>50</v>
      </c>
      <c r="C77" s="59">
        <v>88264</v>
      </c>
      <c r="D77" s="60" t="s">
        <v>466</v>
      </c>
      <c r="E77" s="59" t="s">
        <v>54</v>
      </c>
      <c r="F77" s="61">
        <v>0.9</v>
      </c>
      <c r="G77" s="62">
        <f>G69</f>
        <v>22.67</v>
      </c>
      <c r="H77" s="68">
        <f>G77*F77</f>
        <v>20.399999999999999</v>
      </c>
      <c r="L77" s="38"/>
    </row>
    <row r="78" spans="2:12" x14ac:dyDescent="0.25">
      <c r="B78" s="65" t="s">
        <v>49</v>
      </c>
      <c r="C78" s="65">
        <v>39028</v>
      </c>
      <c r="D78" s="66" t="s">
        <v>718</v>
      </c>
      <c r="E78" s="65" t="s">
        <v>248</v>
      </c>
      <c r="F78" s="67">
        <v>1</v>
      </c>
      <c r="G78" s="68">
        <v>11.23</v>
      </c>
      <c r="H78" s="68">
        <f>G78*F78</f>
        <v>11.23</v>
      </c>
      <c r="L78" s="38"/>
    </row>
    <row r="79" spans="2:12" x14ac:dyDescent="0.25">
      <c r="B79" s="559" t="s">
        <v>481</v>
      </c>
      <c r="C79" s="559"/>
      <c r="D79" s="559"/>
      <c r="E79" s="154"/>
      <c r="F79" s="154"/>
      <c r="G79" s="155" t="s">
        <v>5</v>
      </c>
      <c r="H79" s="235">
        <f>SUM(H76:H78)</f>
        <v>48.56</v>
      </c>
      <c r="I79" s="148"/>
      <c r="L79" s="38"/>
    </row>
    <row r="80" spans="2:12" x14ac:dyDescent="0.25">
      <c r="B80" s="522"/>
      <c r="C80" s="522"/>
      <c r="D80" s="522"/>
      <c r="E80" s="522"/>
      <c r="F80" s="522"/>
      <c r="G80" s="522"/>
      <c r="H80" s="522"/>
      <c r="L80" s="38"/>
    </row>
    <row r="81" spans="2:12" ht="27" customHeight="1" x14ac:dyDescent="0.25">
      <c r="B81" s="523" t="s">
        <v>510</v>
      </c>
      <c r="C81" s="540" t="s">
        <v>482</v>
      </c>
      <c r="D81" s="523"/>
      <c r="E81" s="523"/>
      <c r="F81" s="523"/>
      <c r="G81" s="523"/>
      <c r="H81" s="96" t="s">
        <v>248</v>
      </c>
      <c r="L81" s="38"/>
    </row>
    <row r="82" spans="2:12" x14ac:dyDescent="0.25">
      <c r="B82" s="523"/>
      <c r="C82" s="57" t="s">
        <v>233</v>
      </c>
      <c r="D82" s="57" t="s">
        <v>234</v>
      </c>
      <c r="E82" s="57" t="s">
        <v>47</v>
      </c>
      <c r="F82" s="57" t="s">
        <v>37</v>
      </c>
      <c r="G82" s="58" t="s">
        <v>48</v>
      </c>
      <c r="H82" s="58" t="s">
        <v>235</v>
      </c>
      <c r="L82" s="38"/>
    </row>
    <row r="83" spans="2:12" ht="25.5" x14ac:dyDescent="0.25">
      <c r="B83" s="65" t="s">
        <v>49</v>
      </c>
      <c r="C83" s="65">
        <v>2446</v>
      </c>
      <c r="D83" s="66" t="s">
        <v>1132</v>
      </c>
      <c r="E83" s="65" t="s">
        <v>248</v>
      </c>
      <c r="F83" s="65">
        <v>1.0169999999999999</v>
      </c>
      <c r="G83" s="68">
        <v>7.5</v>
      </c>
      <c r="H83" s="68">
        <f>G83*F83</f>
        <v>7.63</v>
      </c>
      <c r="L83" s="38"/>
    </row>
    <row r="84" spans="2:12" x14ac:dyDescent="0.25">
      <c r="B84" s="59" t="s">
        <v>50</v>
      </c>
      <c r="C84" s="59">
        <v>88247</v>
      </c>
      <c r="D84" s="60" t="s">
        <v>465</v>
      </c>
      <c r="E84" s="59" t="s">
        <v>54</v>
      </c>
      <c r="F84" s="59">
        <v>0.16400000000000001</v>
      </c>
      <c r="G84" s="62">
        <f>G76</f>
        <v>18.809999999999999</v>
      </c>
      <c r="H84" s="68">
        <f>G84*F84</f>
        <v>3.08</v>
      </c>
      <c r="L84" s="38"/>
    </row>
    <row r="85" spans="2:12" x14ac:dyDescent="0.25">
      <c r="B85" s="59" t="s">
        <v>50</v>
      </c>
      <c r="C85" s="59">
        <v>88264</v>
      </c>
      <c r="D85" s="60" t="s">
        <v>466</v>
      </c>
      <c r="E85" s="59" t="s">
        <v>54</v>
      </c>
      <c r="F85" s="59">
        <v>0.16400000000000001</v>
      </c>
      <c r="G85" s="62">
        <f>G77</f>
        <v>22.67</v>
      </c>
      <c r="H85" s="68">
        <f>G85*F85</f>
        <v>3.72</v>
      </c>
      <c r="L85" s="38"/>
    </row>
    <row r="86" spans="2:12" x14ac:dyDescent="0.25">
      <c r="B86" s="559" t="s">
        <v>1133</v>
      </c>
      <c r="C86" s="559"/>
      <c r="D86" s="559"/>
      <c r="E86" s="154"/>
      <c r="F86" s="154"/>
      <c r="G86" s="155" t="s">
        <v>5</v>
      </c>
      <c r="H86" s="235">
        <f>SUM(H83:H85)</f>
        <v>14.43</v>
      </c>
      <c r="I86" s="148"/>
      <c r="L86" s="38"/>
    </row>
    <row r="87" spans="2:12" x14ac:dyDescent="0.25">
      <c r="B87" s="522"/>
      <c r="C87" s="522"/>
      <c r="D87" s="522"/>
      <c r="E87" s="522"/>
      <c r="F87" s="522"/>
      <c r="G87" s="522"/>
      <c r="H87" s="522"/>
      <c r="L87" s="38"/>
    </row>
    <row r="88" spans="2:12" ht="27" customHeight="1" x14ac:dyDescent="0.25">
      <c r="B88" s="523" t="s">
        <v>509</v>
      </c>
      <c r="C88" s="540" t="s">
        <v>1565</v>
      </c>
      <c r="D88" s="523"/>
      <c r="E88" s="523"/>
      <c r="F88" s="523"/>
      <c r="G88" s="523"/>
      <c r="H88" s="96" t="s">
        <v>1134</v>
      </c>
      <c r="L88" s="38"/>
    </row>
    <row r="89" spans="2:12" x14ac:dyDescent="0.25">
      <c r="B89" s="523"/>
      <c r="C89" s="56" t="s">
        <v>233</v>
      </c>
      <c r="D89" s="57" t="s">
        <v>234</v>
      </c>
      <c r="E89" s="57" t="s">
        <v>47</v>
      </c>
      <c r="F89" s="57" t="s">
        <v>37</v>
      </c>
      <c r="G89" s="58" t="s">
        <v>48</v>
      </c>
      <c r="H89" s="58" t="s">
        <v>235</v>
      </c>
      <c r="L89" s="38"/>
    </row>
    <row r="90" spans="2:12" x14ac:dyDescent="0.25">
      <c r="B90" s="59" t="s">
        <v>50</v>
      </c>
      <c r="C90" s="59">
        <v>88247</v>
      </c>
      <c r="D90" s="60" t="s">
        <v>465</v>
      </c>
      <c r="E90" s="59" t="s">
        <v>54</v>
      </c>
      <c r="F90" s="202">
        <v>0.24</v>
      </c>
      <c r="G90" s="62">
        <f>G84</f>
        <v>18.809999999999999</v>
      </c>
      <c r="H90" s="68">
        <f t="shared" ref="H90:H96" si="1">G90*F90</f>
        <v>4.51</v>
      </c>
      <c r="L90" s="38"/>
    </row>
    <row r="91" spans="2:12" x14ac:dyDescent="0.25">
      <c r="B91" s="59" t="s">
        <v>50</v>
      </c>
      <c r="C91" s="59">
        <v>88264</v>
      </c>
      <c r="D91" s="60" t="s">
        <v>466</v>
      </c>
      <c r="E91" s="59" t="s">
        <v>54</v>
      </c>
      <c r="F91" s="202">
        <v>0.24</v>
      </c>
      <c r="G91" s="62">
        <f>G85</f>
        <v>22.67</v>
      </c>
      <c r="H91" s="68">
        <f t="shared" si="1"/>
        <v>5.44</v>
      </c>
      <c r="L91" s="38"/>
    </row>
    <row r="92" spans="2:12" ht="25.5" x14ac:dyDescent="0.25">
      <c r="B92" s="59" t="s">
        <v>49</v>
      </c>
      <c r="C92" s="59">
        <v>39211</v>
      </c>
      <c r="D92" s="60" t="s">
        <v>1032</v>
      </c>
      <c r="E92" s="59" t="s">
        <v>309</v>
      </c>
      <c r="F92" s="202">
        <v>16.8</v>
      </c>
      <c r="G92" s="62">
        <v>1.67</v>
      </c>
      <c r="H92" s="68">
        <f t="shared" si="1"/>
        <v>28.06</v>
      </c>
      <c r="L92" s="38"/>
    </row>
    <row r="93" spans="2:12" x14ac:dyDescent="0.25">
      <c r="B93" s="59" t="s">
        <v>49</v>
      </c>
      <c r="C93" s="59">
        <v>39997</v>
      </c>
      <c r="D93" s="60" t="s">
        <v>1033</v>
      </c>
      <c r="E93" s="59" t="s">
        <v>309</v>
      </c>
      <c r="F93" s="202">
        <v>16.8</v>
      </c>
      <c r="G93" s="62">
        <v>0.32</v>
      </c>
      <c r="H93" s="68">
        <f t="shared" si="1"/>
        <v>5.38</v>
      </c>
      <c r="L93" s="38"/>
    </row>
    <row r="94" spans="2:12" ht="25.5" x14ac:dyDescent="0.25">
      <c r="B94" s="203" t="s">
        <v>49</v>
      </c>
      <c r="C94" s="59" t="str">
        <f>COTAÇÕES!C45</f>
        <v>COT 013</v>
      </c>
      <c r="D94" s="60" t="s">
        <v>1533</v>
      </c>
      <c r="E94" s="59" t="s">
        <v>309</v>
      </c>
      <c r="F94" s="202">
        <v>1</v>
      </c>
      <c r="G94" s="62">
        <f>COTAÇÕES!J45</f>
        <v>4.8</v>
      </c>
      <c r="H94" s="68">
        <f t="shared" si="1"/>
        <v>4.8</v>
      </c>
      <c r="L94" s="38"/>
    </row>
    <row r="95" spans="2:12" ht="25.5" x14ac:dyDescent="0.25">
      <c r="B95" s="203" t="s">
        <v>49</v>
      </c>
      <c r="C95" s="59" t="str">
        <f>COTAÇÕES!C51</f>
        <v>COT 015</v>
      </c>
      <c r="D95" s="60" t="s">
        <v>1027</v>
      </c>
      <c r="E95" s="59" t="s">
        <v>309</v>
      </c>
      <c r="F95" s="202">
        <v>4</v>
      </c>
      <c r="G95" s="62">
        <f>COTAÇÕES!J51</f>
        <v>1.6</v>
      </c>
      <c r="H95" s="68">
        <f t="shared" si="1"/>
        <v>6.4</v>
      </c>
      <c r="L95" s="38"/>
    </row>
    <row r="96" spans="2:12" ht="25.5" x14ac:dyDescent="0.25">
      <c r="B96" s="203" t="s">
        <v>49</v>
      </c>
      <c r="C96" s="59">
        <v>11962</v>
      </c>
      <c r="D96" s="60" t="s">
        <v>1477</v>
      </c>
      <c r="E96" s="59" t="s">
        <v>309</v>
      </c>
      <c r="F96" s="202">
        <v>16.8</v>
      </c>
      <c r="G96" s="62">
        <v>0.24</v>
      </c>
      <c r="H96" s="68">
        <f t="shared" si="1"/>
        <v>4.03</v>
      </c>
      <c r="L96" s="38"/>
    </row>
    <row r="97" spans="2:12" x14ac:dyDescent="0.25">
      <c r="B97" s="559" t="s">
        <v>1135</v>
      </c>
      <c r="C97" s="559"/>
      <c r="D97" s="559"/>
      <c r="E97" s="154"/>
      <c r="F97" s="154"/>
      <c r="G97" s="155" t="s">
        <v>5</v>
      </c>
      <c r="H97" s="235">
        <f>SUM(H90:H96)</f>
        <v>58.62</v>
      </c>
      <c r="L97" s="38"/>
    </row>
    <row r="98" spans="2:12" x14ac:dyDescent="0.25">
      <c r="B98" s="522"/>
      <c r="C98" s="522"/>
      <c r="D98" s="522"/>
      <c r="E98" s="522"/>
      <c r="F98" s="522"/>
      <c r="G98" s="522"/>
      <c r="H98" s="522"/>
      <c r="L98" s="38"/>
    </row>
    <row r="99" spans="2:12" ht="27" customHeight="1" x14ac:dyDescent="0.25">
      <c r="B99" s="523" t="s">
        <v>508</v>
      </c>
      <c r="C99" s="540" t="s">
        <v>1568</v>
      </c>
      <c r="D99" s="523"/>
      <c r="E99" s="523"/>
      <c r="F99" s="523"/>
      <c r="G99" s="523"/>
      <c r="H99" s="96" t="s">
        <v>248</v>
      </c>
      <c r="L99" s="38"/>
    </row>
    <row r="100" spans="2:12" x14ac:dyDescent="0.25">
      <c r="B100" s="523"/>
      <c r="C100" s="56" t="s">
        <v>233</v>
      </c>
      <c r="D100" s="57" t="s">
        <v>234</v>
      </c>
      <c r="E100" s="57" t="s">
        <v>47</v>
      </c>
      <c r="F100" s="57" t="s">
        <v>37</v>
      </c>
      <c r="G100" s="58" t="s">
        <v>48</v>
      </c>
      <c r="H100" s="58" t="s">
        <v>235</v>
      </c>
      <c r="L100" s="38"/>
    </row>
    <row r="101" spans="2:12" x14ac:dyDescent="0.25">
      <c r="B101" s="59" t="s">
        <v>50</v>
      </c>
      <c r="C101" s="59">
        <v>88247</v>
      </c>
      <c r="D101" s="60" t="s">
        <v>465</v>
      </c>
      <c r="E101" s="59" t="s">
        <v>54</v>
      </c>
      <c r="F101" s="67">
        <v>0.12</v>
      </c>
      <c r="G101" s="62">
        <f>G84</f>
        <v>18.809999999999999</v>
      </c>
      <c r="H101" s="68">
        <f>G101*F101</f>
        <v>2.2599999999999998</v>
      </c>
      <c r="L101" s="38"/>
    </row>
    <row r="102" spans="2:12" x14ac:dyDescent="0.25">
      <c r="B102" s="59" t="s">
        <v>50</v>
      </c>
      <c r="C102" s="59">
        <v>88264</v>
      </c>
      <c r="D102" s="60" t="s">
        <v>466</v>
      </c>
      <c r="E102" s="59" t="s">
        <v>54</v>
      </c>
      <c r="F102" s="67">
        <v>0.12</v>
      </c>
      <c r="G102" s="62">
        <f>G85</f>
        <v>22.67</v>
      </c>
      <c r="H102" s="68">
        <f>G102*F102</f>
        <v>2.72</v>
      </c>
      <c r="L102" s="38"/>
    </row>
    <row r="103" spans="2:12" ht="51" x14ac:dyDescent="0.25">
      <c r="B103" s="59" t="s">
        <v>50</v>
      </c>
      <c r="C103" s="59">
        <v>91170</v>
      </c>
      <c r="D103" s="60" t="s">
        <v>1023</v>
      </c>
      <c r="E103" s="59" t="s">
        <v>248</v>
      </c>
      <c r="F103" s="202">
        <v>1</v>
      </c>
      <c r="G103" s="68">
        <v>3.08</v>
      </c>
      <c r="H103" s="68">
        <f>G103*F103</f>
        <v>3.08</v>
      </c>
      <c r="L103" s="38"/>
    </row>
    <row r="104" spans="2:12" ht="38.25" x14ac:dyDescent="0.25">
      <c r="B104" s="203" t="s">
        <v>49</v>
      </c>
      <c r="C104" s="59" t="str">
        <f>COTAÇÕES!C39</f>
        <v>COT 011</v>
      </c>
      <c r="D104" s="60" t="s">
        <v>1566</v>
      </c>
      <c r="E104" s="59" t="s">
        <v>248</v>
      </c>
      <c r="F104" s="202">
        <v>0.97299999999999998</v>
      </c>
      <c r="G104" s="68">
        <f>COTAÇÕES!J39</f>
        <v>58.95</v>
      </c>
      <c r="H104" s="68">
        <f>G104*F104</f>
        <v>57.36</v>
      </c>
      <c r="L104" s="38"/>
    </row>
    <row r="105" spans="2:12" ht="38.25" x14ac:dyDescent="0.25">
      <c r="B105" s="59" t="s">
        <v>50</v>
      </c>
      <c r="C105" s="59" t="str">
        <f>B88</f>
        <v>PMA ELE 011</v>
      </c>
      <c r="D105" s="60" t="s">
        <v>1136</v>
      </c>
      <c r="E105" s="59" t="s">
        <v>309</v>
      </c>
      <c r="F105" s="202">
        <v>0.33300000000000002</v>
      </c>
      <c r="G105" s="68">
        <f>H97</f>
        <v>58.62</v>
      </c>
      <c r="H105" s="68">
        <f>G105*F105</f>
        <v>19.52</v>
      </c>
      <c r="L105" s="38"/>
    </row>
    <row r="106" spans="2:12" x14ac:dyDescent="0.25">
      <c r="B106" s="559" t="s">
        <v>1567</v>
      </c>
      <c r="C106" s="559"/>
      <c r="D106" s="559"/>
      <c r="E106" s="154"/>
      <c r="F106" s="154"/>
      <c r="G106" s="155" t="s">
        <v>5</v>
      </c>
      <c r="H106" s="235">
        <f>SUM(H101:H105)</f>
        <v>84.94</v>
      </c>
      <c r="I106" s="148"/>
      <c r="L106" s="38"/>
    </row>
    <row r="107" spans="2:12" x14ac:dyDescent="0.25">
      <c r="B107" s="522"/>
      <c r="C107" s="522"/>
      <c r="D107" s="522"/>
      <c r="E107" s="522"/>
      <c r="F107" s="522"/>
      <c r="G107" s="522"/>
      <c r="H107" s="522"/>
      <c r="L107" s="38"/>
    </row>
    <row r="108" spans="2:12" ht="27" customHeight="1" x14ac:dyDescent="0.25">
      <c r="B108" s="523" t="s">
        <v>537</v>
      </c>
      <c r="C108" s="540" t="s">
        <v>1137</v>
      </c>
      <c r="D108" s="523"/>
      <c r="E108" s="523"/>
      <c r="F108" s="523"/>
      <c r="G108" s="523"/>
      <c r="H108" s="96" t="s">
        <v>1134</v>
      </c>
      <c r="L108" s="38"/>
    </row>
    <row r="109" spans="2:12" x14ac:dyDescent="0.25">
      <c r="B109" s="523"/>
      <c r="C109" s="56" t="s">
        <v>233</v>
      </c>
      <c r="D109" s="57" t="s">
        <v>234</v>
      </c>
      <c r="E109" s="57" t="s">
        <v>47</v>
      </c>
      <c r="F109" s="57" t="s">
        <v>37</v>
      </c>
      <c r="G109" s="58" t="s">
        <v>48</v>
      </c>
      <c r="H109" s="58" t="s">
        <v>235</v>
      </c>
      <c r="L109" s="38"/>
    </row>
    <row r="110" spans="2:12" x14ac:dyDescent="0.25">
      <c r="B110" s="59" t="s">
        <v>50</v>
      </c>
      <c r="C110" s="59">
        <v>88264</v>
      </c>
      <c r="D110" s="60" t="s">
        <v>466</v>
      </c>
      <c r="E110" s="59" t="s">
        <v>54</v>
      </c>
      <c r="F110" s="64">
        <v>0.36</v>
      </c>
      <c r="G110" s="62">
        <v>22.67</v>
      </c>
      <c r="H110" s="68">
        <v>5.84</v>
      </c>
      <c r="L110" s="38"/>
    </row>
    <row r="111" spans="2:12" x14ac:dyDescent="0.25">
      <c r="B111" s="59" t="s">
        <v>50</v>
      </c>
      <c r="C111" s="59">
        <v>88247</v>
      </c>
      <c r="D111" s="60" t="s">
        <v>465</v>
      </c>
      <c r="E111" s="59" t="s">
        <v>54</v>
      </c>
      <c r="F111" s="64">
        <v>0.36</v>
      </c>
      <c r="G111" s="62">
        <v>18.809999999999999</v>
      </c>
      <c r="H111" s="68">
        <v>7.06</v>
      </c>
      <c r="L111" s="38"/>
    </row>
    <row r="112" spans="2:12" ht="25.5" x14ac:dyDescent="0.25">
      <c r="B112" s="59" t="s">
        <v>49</v>
      </c>
      <c r="C112" s="59">
        <v>39211</v>
      </c>
      <c r="D112" s="60" t="s">
        <v>1032</v>
      </c>
      <c r="E112" s="59" t="s">
        <v>309</v>
      </c>
      <c r="F112" s="64">
        <v>16.8</v>
      </c>
      <c r="G112" s="62">
        <f>G92</f>
        <v>1.67</v>
      </c>
      <c r="H112" s="68">
        <v>25.54</v>
      </c>
      <c r="L112" s="38"/>
    </row>
    <row r="113" spans="2:12" x14ac:dyDescent="0.25">
      <c r="B113" s="59" t="s">
        <v>49</v>
      </c>
      <c r="C113" s="59">
        <v>39997</v>
      </c>
      <c r="D113" s="60" t="s">
        <v>1033</v>
      </c>
      <c r="E113" s="59" t="s">
        <v>309</v>
      </c>
      <c r="F113" s="64">
        <v>16.8</v>
      </c>
      <c r="G113" s="62">
        <f>G93</f>
        <v>0.32</v>
      </c>
      <c r="H113" s="68">
        <v>4.87</v>
      </c>
      <c r="L113" s="38"/>
    </row>
    <row r="114" spans="2:12" ht="25.5" x14ac:dyDescent="0.25">
      <c r="B114" s="59" t="s">
        <v>49</v>
      </c>
      <c r="C114" s="59" t="str">
        <f>COTAÇÕES!C42</f>
        <v>COT 012</v>
      </c>
      <c r="D114" s="60" t="s">
        <v>1534</v>
      </c>
      <c r="E114" s="59" t="s">
        <v>309</v>
      </c>
      <c r="F114" s="64">
        <v>1</v>
      </c>
      <c r="G114" s="62">
        <f>COTAÇÕES!J45</f>
        <v>4.8</v>
      </c>
      <c r="H114" s="68">
        <v>5.57</v>
      </c>
      <c r="L114" s="38"/>
    </row>
    <row r="115" spans="2:12" ht="25.5" x14ac:dyDescent="0.25">
      <c r="B115" s="59" t="s">
        <v>49</v>
      </c>
      <c r="C115" s="59" t="str">
        <f>COTAÇÕES!C51</f>
        <v>COT 015</v>
      </c>
      <c r="D115" s="60" t="s">
        <v>1027</v>
      </c>
      <c r="E115" s="59" t="s">
        <v>309</v>
      </c>
      <c r="F115" s="64">
        <v>4</v>
      </c>
      <c r="G115" s="62">
        <f>COTAÇÕES!J51</f>
        <v>1.6</v>
      </c>
      <c r="H115" s="68">
        <v>4.8</v>
      </c>
      <c r="L115" s="38"/>
    </row>
    <row r="116" spans="2:12" ht="25.5" x14ac:dyDescent="0.25">
      <c r="B116" s="59" t="s">
        <v>49</v>
      </c>
      <c r="C116" s="59">
        <v>11962</v>
      </c>
      <c r="D116" s="60" t="s">
        <v>1477</v>
      </c>
      <c r="E116" s="59" t="s">
        <v>309</v>
      </c>
      <c r="F116" s="64">
        <v>16.8</v>
      </c>
      <c r="G116" s="62">
        <f>G96</f>
        <v>0.24</v>
      </c>
      <c r="H116" s="68">
        <v>3.53</v>
      </c>
      <c r="L116" s="38"/>
    </row>
    <row r="117" spans="2:12" x14ac:dyDescent="0.25">
      <c r="B117" s="559" t="s">
        <v>1569</v>
      </c>
      <c r="C117" s="559"/>
      <c r="D117" s="559"/>
      <c r="E117" s="154"/>
      <c r="F117" s="154"/>
      <c r="G117" s="155" t="s">
        <v>5</v>
      </c>
      <c r="H117" s="235">
        <f>SUM(H110:H116)</f>
        <v>57.21</v>
      </c>
      <c r="I117" s="148"/>
      <c r="L117" s="38"/>
    </row>
    <row r="118" spans="2:12" x14ac:dyDescent="0.25">
      <c r="B118" s="522"/>
      <c r="C118" s="522"/>
      <c r="D118" s="522"/>
      <c r="E118" s="522"/>
      <c r="F118" s="522"/>
      <c r="G118" s="522"/>
      <c r="H118" s="522"/>
      <c r="L118" s="38"/>
    </row>
    <row r="119" spans="2:12" ht="27" customHeight="1" x14ac:dyDescent="0.25">
      <c r="B119" s="523" t="s">
        <v>538</v>
      </c>
      <c r="C119" s="540" t="s">
        <v>1138</v>
      </c>
      <c r="D119" s="523"/>
      <c r="E119" s="523"/>
      <c r="F119" s="523"/>
      <c r="G119" s="523"/>
      <c r="H119" s="96" t="s">
        <v>248</v>
      </c>
      <c r="L119" s="38"/>
    </row>
    <row r="120" spans="2:12" x14ac:dyDescent="0.25">
      <c r="B120" s="523"/>
      <c r="C120" s="56" t="s">
        <v>233</v>
      </c>
      <c r="D120" s="57" t="s">
        <v>234</v>
      </c>
      <c r="E120" s="57" t="s">
        <v>47</v>
      </c>
      <c r="F120" s="57" t="s">
        <v>37</v>
      </c>
      <c r="G120" s="58" t="s">
        <v>48</v>
      </c>
      <c r="H120" s="58" t="s">
        <v>235</v>
      </c>
      <c r="L120" s="38"/>
    </row>
    <row r="121" spans="2:12" x14ac:dyDescent="0.25">
      <c r="B121" s="59" t="s">
        <v>50</v>
      </c>
      <c r="C121" s="59">
        <v>88247</v>
      </c>
      <c r="D121" s="60" t="s">
        <v>465</v>
      </c>
      <c r="E121" s="59" t="s">
        <v>54</v>
      </c>
      <c r="F121" s="202">
        <v>0.17799999999999999</v>
      </c>
      <c r="G121" s="62">
        <f>G101</f>
        <v>18.809999999999999</v>
      </c>
      <c r="H121" s="68">
        <f>G121*F121</f>
        <v>3.35</v>
      </c>
      <c r="L121" s="38"/>
    </row>
    <row r="122" spans="2:12" x14ac:dyDescent="0.25">
      <c r="B122" s="59" t="s">
        <v>50</v>
      </c>
      <c r="C122" s="59">
        <v>88264</v>
      </c>
      <c r="D122" s="60" t="s">
        <v>466</v>
      </c>
      <c r="E122" s="59" t="s">
        <v>54</v>
      </c>
      <c r="F122" s="202">
        <v>0.17799999999999999</v>
      </c>
      <c r="G122" s="62">
        <f>G102</f>
        <v>22.67</v>
      </c>
      <c r="H122" s="68">
        <f>G122*F122</f>
        <v>4.04</v>
      </c>
      <c r="L122" s="38"/>
    </row>
    <row r="123" spans="2:12" ht="51" x14ac:dyDescent="0.25">
      <c r="B123" s="59" t="s">
        <v>50</v>
      </c>
      <c r="C123" s="238">
        <v>96562</v>
      </c>
      <c r="D123" s="60" t="s">
        <v>1139</v>
      </c>
      <c r="E123" s="59" t="s">
        <v>248</v>
      </c>
      <c r="F123" s="202">
        <v>1</v>
      </c>
      <c r="G123" s="68">
        <v>20.77</v>
      </c>
      <c r="H123" s="68">
        <f>G123*F123</f>
        <v>20.77</v>
      </c>
      <c r="L123" s="38"/>
    </row>
    <row r="124" spans="2:12" ht="25.5" x14ac:dyDescent="0.25">
      <c r="B124" s="59" t="s">
        <v>49</v>
      </c>
      <c r="C124" s="203" t="str">
        <f>COTAÇÕES!C42</f>
        <v>COT 012</v>
      </c>
      <c r="D124" s="60" t="s">
        <v>1140</v>
      </c>
      <c r="E124" s="59" t="s">
        <v>248</v>
      </c>
      <c r="F124" s="202">
        <v>0.95799999999999996</v>
      </c>
      <c r="G124" s="68">
        <f>COTAÇÕES!J42</f>
        <v>89.95</v>
      </c>
      <c r="H124" s="68">
        <f>G124*F124</f>
        <v>86.17</v>
      </c>
      <c r="L124" s="38"/>
    </row>
    <row r="125" spans="2:12" ht="38.25" x14ac:dyDescent="0.25">
      <c r="B125" s="59" t="s">
        <v>50</v>
      </c>
      <c r="C125" s="59" t="str">
        <f>B108</f>
        <v>PMA ELE 013</v>
      </c>
      <c r="D125" s="60" t="s">
        <v>1137</v>
      </c>
      <c r="E125" s="59" t="s">
        <v>309</v>
      </c>
      <c r="F125" s="202">
        <v>0.33300000000000002</v>
      </c>
      <c r="G125" s="68">
        <f>H117</f>
        <v>57.21</v>
      </c>
      <c r="H125" s="68">
        <f>G125*F125</f>
        <v>19.05</v>
      </c>
      <c r="L125" s="38"/>
    </row>
    <row r="126" spans="2:12" x14ac:dyDescent="0.25">
      <c r="B126" s="559" t="s">
        <v>1570</v>
      </c>
      <c r="C126" s="559"/>
      <c r="D126" s="559"/>
      <c r="E126" s="154"/>
      <c r="F126" s="154"/>
      <c r="G126" s="155" t="s">
        <v>5</v>
      </c>
      <c r="H126" s="235">
        <f>SUM(H121:H125)</f>
        <v>133.38</v>
      </c>
      <c r="I126" s="148"/>
      <c r="L126" s="38"/>
    </row>
    <row r="127" spans="2:12" x14ac:dyDescent="0.25">
      <c r="B127" s="522"/>
      <c r="C127" s="522"/>
      <c r="D127" s="522"/>
      <c r="E127" s="522"/>
      <c r="F127" s="522"/>
      <c r="G127" s="522"/>
      <c r="H127" s="522"/>
      <c r="L127" s="38"/>
    </row>
    <row r="128" spans="2:12" ht="27" customHeight="1" x14ac:dyDescent="0.25">
      <c r="B128" s="523" t="s">
        <v>539</v>
      </c>
      <c r="C128" s="540" t="s">
        <v>1142</v>
      </c>
      <c r="D128" s="523"/>
      <c r="E128" s="523"/>
      <c r="F128" s="523"/>
      <c r="G128" s="523"/>
      <c r="H128" s="96" t="s">
        <v>309</v>
      </c>
      <c r="L128" s="38"/>
    </row>
    <row r="129" spans="2:15" x14ac:dyDescent="0.25">
      <c r="B129" s="523"/>
      <c r="C129" s="56" t="s">
        <v>233</v>
      </c>
      <c r="D129" s="57" t="s">
        <v>234</v>
      </c>
      <c r="E129" s="57" t="s">
        <v>47</v>
      </c>
      <c r="F129" s="57" t="s">
        <v>37</v>
      </c>
      <c r="G129" s="58" t="s">
        <v>48</v>
      </c>
      <c r="H129" s="58" t="s">
        <v>235</v>
      </c>
      <c r="K129" s="100"/>
      <c r="L129" s="100"/>
      <c r="M129" s="237"/>
      <c r="N129" s="237"/>
      <c r="O129" s="237"/>
    </row>
    <row r="130" spans="2:15" x14ac:dyDescent="0.25">
      <c r="B130" s="59" t="s">
        <v>50</v>
      </c>
      <c r="C130" s="59">
        <v>88264</v>
      </c>
      <c r="D130" s="60" t="s">
        <v>466</v>
      </c>
      <c r="E130" s="59" t="s">
        <v>54</v>
      </c>
      <c r="F130" s="202">
        <v>0.71</v>
      </c>
      <c r="G130" s="62">
        <v>22.67</v>
      </c>
      <c r="H130" s="68">
        <f t="shared" ref="H130:H136" si="2">G130*F130</f>
        <v>16.100000000000001</v>
      </c>
      <c r="K130" s="100"/>
      <c r="L130" s="100"/>
      <c r="M130" s="237"/>
      <c r="N130" s="237"/>
      <c r="O130" s="237"/>
    </row>
    <row r="131" spans="2:15" x14ac:dyDescent="0.25">
      <c r="B131" s="59" t="s">
        <v>50</v>
      </c>
      <c r="C131" s="59">
        <v>88247</v>
      </c>
      <c r="D131" s="60" t="s">
        <v>465</v>
      </c>
      <c r="E131" s="59" t="s">
        <v>54</v>
      </c>
      <c r="F131" s="202">
        <v>0.71</v>
      </c>
      <c r="G131" s="62">
        <v>18.809999999999999</v>
      </c>
      <c r="H131" s="68">
        <f t="shared" si="2"/>
        <v>13.36</v>
      </c>
      <c r="K131" s="100"/>
      <c r="L131" s="100"/>
      <c r="M131" s="237"/>
      <c r="N131" s="237"/>
      <c r="O131" s="237"/>
    </row>
    <row r="132" spans="2:15" ht="25.5" x14ac:dyDescent="0.25">
      <c r="B132" s="59" t="s">
        <v>49</v>
      </c>
      <c r="C132" s="59">
        <v>39211</v>
      </c>
      <c r="D132" s="60" t="s">
        <v>1032</v>
      </c>
      <c r="E132" s="59" t="s">
        <v>309</v>
      </c>
      <c r="F132" s="202">
        <v>25.2</v>
      </c>
      <c r="G132" s="62">
        <f>G112</f>
        <v>1.67</v>
      </c>
      <c r="H132" s="68">
        <f t="shared" si="2"/>
        <v>42.08</v>
      </c>
      <c r="K132" s="100"/>
      <c r="L132" s="100"/>
      <c r="M132" s="237"/>
      <c r="N132" s="237"/>
      <c r="O132" s="237"/>
    </row>
    <row r="133" spans="2:15" x14ac:dyDescent="0.25">
      <c r="B133" s="59" t="s">
        <v>49</v>
      </c>
      <c r="C133" s="59">
        <v>39997</v>
      </c>
      <c r="D133" s="60" t="s">
        <v>1033</v>
      </c>
      <c r="E133" s="59" t="s">
        <v>309</v>
      </c>
      <c r="F133" s="202">
        <v>25.2</v>
      </c>
      <c r="G133" s="62">
        <f>G113</f>
        <v>0.32</v>
      </c>
      <c r="H133" s="68">
        <f t="shared" si="2"/>
        <v>8.06</v>
      </c>
      <c r="K133" s="100"/>
      <c r="L133" s="100"/>
      <c r="M133" s="237"/>
      <c r="N133" s="237"/>
      <c r="O133" s="237"/>
    </row>
    <row r="134" spans="2:15" ht="25.5" x14ac:dyDescent="0.25">
      <c r="B134" s="59" t="s">
        <v>49</v>
      </c>
      <c r="C134" s="203" t="str">
        <f>COTAÇÕES!C57</f>
        <v>COT 017</v>
      </c>
      <c r="D134" s="60" t="s">
        <v>1143</v>
      </c>
      <c r="E134" s="59" t="s">
        <v>309</v>
      </c>
      <c r="F134" s="202">
        <v>1</v>
      </c>
      <c r="G134" s="62">
        <f>COTAÇÕES!J57</f>
        <v>52.4</v>
      </c>
      <c r="H134" s="68">
        <f t="shared" si="2"/>
        <v>52.4</v>
      </c>
      <c r="K134" s="100"/>
      <c r="L134" s="100"/>
      <c r="M134" s="237"/>
      <c r="N134" s="237"/>
      <c r="O134" s="237"/>
    </row>
    <row r="135" spans="2:15" ht="25.5" x14ac:dyDescent="0.25">
      <c r="B135" s="59" t="s">
        <v>49</v>
      </c>
      <c r="C135" s="203" t="str">
        <f>COTAÇÕES!C51</f>
        <v>COT 015</v>
      </c>
      <c r="D135" s="60" t="s">
        <v>1027</v>
      </c>
      <c r="E135" s="59" t="s">
        <v>309</v>
      </c>
      <c r="F135" s="202">
        <v>6</v>
      </c>
      <c r="G135" s="62">
        <f>COTAÇÕES!J51</f>
        <v>1.6</v>
      </c>
      <c r="H135" s="68">
        <f t="shared" si="2"/>
        <v>9.6</v>
      </c>
      <c r="K135" s="100"/>
      <c r="L135" s="100"/>
      <c r="M135" s="237"/>
      <c r="N135" s="237"/>
      <c r="O135" s="237"/>
    </row>
    <row r="136" spans="2:15" ht="25.5" x14ac:dyDescent="0.25">
      <c r="B136" s="59" t="s">
        <v>49</v>
      </c>
      <c r="C136" s="59">
        <v>11962</v>
      </c>
      <c r="D136" s="60" t="s">
        <v>1477</v>
      </c>
      <c r="E136" s="59" t="s">
        <v>309</v>
      </c>
      <c r="F136" s="202">
        <v>25.2</v>
      </c>
      <c r="G136" s="62">
        <f>G116</f>
        <v>0.24</v>
      </c>
      <c r="H136" s="68">
        <f t="shared" si="2"/>
        <v>6.05</v>
      </c>
      <c r="K136" s="100"/>
      <c r="L136" s="100"/>
      <c r="M136" s="237"/>
      <c r="N136" s="237"/>
      <c r="O136" s="237"/>
    </row>
    <row r="137" spans="2:15" x14ac:dyDescent="0.25">
      <c r="B137" s="559" t="s">
        <v>1144</v>
      </c>
      <c r="C137" s="559"/>
      <c r="D137" s="559"/>
      <c r="E137" s="154"/>
      <c r="F137" s="154"/>
      <c r="G137" s="155" t="s">
        <v>5</v>
      </c>
      <c r="H137" s="235">
        <f>SUM(H130:H136)</f>
        <v>147.65</v>
      </c>
      <c r="I137" s="148"/>
      <c r="L137" s="38"/>
    </row>
    <row r="138" spans="2:15" x14ac:dyDescent="0.25">
      <c r="B138" s="522"/>
      <c r="C138" s="522"/>
      <c r="D138" s="522"/>
      <c r="E138" s="522"/>
      <c r="F138" s="522"/>
      <c r="G138" s="522"/>
      <c r="H138" s="522"/>
      <c r="L138" s="38"/>
    </row>
    <row r="139" spans="2:15" ht="27" customHeight="1" x14ac:dyDescent="0.25">
      <c r="B139" s="523" t="s">
        <v>540</v>
      </c>
      <c r="C139" s="540" t="s">
        <v>552</v>
      </c>
      <c r="D139" s="523"/>
      <c r="E139" s="523"/>
      <c r="F139" s="523"/>
      <c r="G139" s="523"/>
      <c r="H139" s="96" t="s">
        <v>309</v>
      </c>
      <c r="L139" s="38"/>
    </row>
    <row r="140" spans="2:15" x14ac:dyDescent="0.25">
      <c r="B140" s="523"/>
      <c r="C140" s="56" t="s">
        <v>233</v>
      </c>
      <c r="D140" s="57" t="s">
        <v>234</v>
      </c>
      <c r="E140" s="57" t="s">
        <v>47</v>
      </c>
      <c r="F140" s="57" t="s">
        <v>37</v>
      </c>
      <c r="G140" s="58" t="s">
        <v>48</v>
      </c>
      <c r="H140" s="58" t="s">
        <v>235</v>
      </c>
      <c r="L140" s="38"/>
    </row>
    <row r="141" spans="2:15" x14ac:dyDescent="0.25">
      <c r="B141" s="59" t="s">
        <v>50</v>
      </c>
      <c r="C141" s="59">
        <v>88247</v>
      </c>
      <c r="D141" s="60" t="s">
        <v>465</v>
      </c>
      <c r="E141" s="59" t="s">
        <v>54</v>
      </c>
      <c r="F141" s="202">
        <v>0.36099999999999999</v>
      </c>
      <c r="G141" s="62">
        <f>G131</f>
        <v>18.809999999999999</v>
      </c>
      <c r="H141" s="68">
        <f t="shared" ref="H141:H147" si="3">G141*F141</f>
        <v>6.79</v>
      </c>
      <c r="L141" s="38"/>
    </row>
    <row r="142" spans="2:15" x14ac:dyDescent="0.25">
      <c r="B142" s="59" t="s">
        <v>50</v>
      </c>
      <c r="C142" s="59">
        <v>88264</v>
      </c>
      <c r="D142" s="60" t="s">
        <v>466</v>
      </c>
      <c r="E142" s="59" t="s">
        <v>54</v>
      </c>
      <c r="F142" s="202">
        <v>0.36099999999999999</v>
      </c>
      <c r="G142" s="62">
        <f>G130</f>
        <v>22.67</v>
      </c>
      <c r="H142" s="68">
        <f t="shared" si="3"/>
        <v>8.18</v>
      </c>
      <c r="L142" s="38"/>
    </row>
    <row r="143" spans="2:15" ht="25.5" x14ac:dyDescent="0.25">
      <c r="B143" s="59" t="s">
        <v>49</v>
      </c>
      <c r="C143" s="59">
        <v>39211</v>
      </c>
      <c r="D143" s="60" t="s">
        <v>1032</v>
      </c>
      <c r="E143" s="59" t="s">
        <v>309</v>
      </c>
      <c r="F143" s="202">
        <v>16.8</v>
      </c>
      <c r="G143" s="62">
        <f>G132</f>
        <v>1.67</v>
      </c>
      <c r="H143" s="68">
        <f t="shared" si="3"/>
        <v>28.06</v>
      </c>
      <c r="L143" s="38"/>
    </row>
    <row r="144" spans="2:15" x14ac:dyDescent="0.25">
      <c r="B144" s="59" t="s">
        <v>49</v>
      </c>
      <c r="C144" s="59">
        <v>39997</v>
      </c>
      <c r="D144" s="60" t="s">
        <v>1033</v>
      </c>
      <c r="E144" s="59" t="s">
        <v>309</v>
      </c>
      <c r="F144" s="202">
        <v>16.8</v>
      </c>
      <c r="G144" s="62">
        <f>G113</f>
        <v>0.32</v>
      </c>
      <c r="H144" s="68">
        <f t="shared" si="3"/>
        <v>5.38</v>
      </c>
      <c r="L144" s="38"/>
    </row>
    <row r="145" spans="2:14" ht="25.5" x14ac:dyDescent="0.25">
      <c r="B145" s="59" t="s">
        <v>49</v>
      </c>
      <c r="C145" s="59" t="str">
        <f>COTAÇÕES!C60</f>
        <v>COT 018</v>
      </c>
      <c r="D145" s="60" t="s">
        <v>1145</v>
      </c>
      <c r="E145" s="59" t="s">
        <v>309</v>
      </c>
      <c r="F145" s="202">
        <v>1</v>
      </c>
      <c r="G145" s="62">
        <f>COTAÇÕES!J60</f>
        <v>30.7</v>
      </c>
      <c r="H145" s="68">
        <f t="shared" si="3"/>
        <v>30.7</v>
      </c>
      <c r="L145" s="38"/>
    </row>
    <row r="146" spans="2:14" ht="25.5" x14ac:dyDescent="0.25">
      <c r="B146" s="59" t="s">
        <v>49</v>
      </c>
      <c r="C146" s="59" t="str">
        <f>COTAÇÕES!C51</f>
        <v>COT 015</v>
      </c>
      <c r="D146" s="60" t="s">
        <v>1027</v>
      </c>
      <c r="E146" s="59" t="s">
        <v>309</v>
      </c>
      <c r="F146" s="202">
        <v>4</v>
      </c>
      <c r="G146" s="62">
        <f t="shared" ref="G146:G147" si="4">G135</f>
        <v>1.6</v>
      </c>
      <c r="H146" s="68">
        <f t="shared" si="3"/>
        <v>6.4</v>
      </c>
      <c r="L146" s="38"/>
    </row>
    <row r="147" spans="2:14" ht="25.5" x14ac:dyDescent="0.25">
      <c r="B147" s="59" t="s">
        <v>49</v>
      </c>
      <c r="C147" s="59">
        <v>11962</v>
      </c>
      <c r="D147" s="60" t="s">
        <v>1477</v>
      </c>
      <c r="E147" s="59" t="s">
        <v>309</v>
      </c>
      <c r="F147" s="202">
        <v>16.8</v>
      </c>
      <c r="G147" s="62">
        <f t="shared" si="4"/>
        <v>0.24</v>
      </c>
      <c r="H147" s="68">
        <f t="shared" si="3"/>
        <v>4.03</v>
      </c>
      <c r="L147" s="38"/>
    </row>
    <row r="148" spans="2:14" x14ac:dyDescent="0.25">
      <c r="B148" s="559" t="s">
        <v>1571</v>
      </c>
      <c r="C148" s="559"/>
      <c r="D148" s="559"/>
      <c r="E148" s="154"/>
      <c r="F148" s="154"/>
      <c r="G148" s="155" t="s">
        <v>5</v>
      </c>
      <c r="H148" s="235">
        <f>SUM(H141:H147)</f>
        <v>89.54</v>
      </c>
      <c r="L148" s="38"/>
    </row>
    <row r="149" spans="2:14" x14ac:dyDescent="0.25">
      <c r="B149" s="522"/>
      <c r="C149" s="522"/>
      <c r="D149" s="522"/>
      <c r="E149" s="522"/>
      <c r="F149" s="522"/>
      <c r="G149" s="522"/>
      <c r="H149" s="522"/>
      <c r="L149" s="38"/>
    </row>
    <row r="150" spans="2:14" ht="27" customHeight="1" x14ac:dyDescent="0.25">
      <c r="B150" s="523" t="s">
        <v>797</v>
      </c>
      <c r="C150" s="540" t="s">
        <v>555</v>
      </c>
      <c r="D150" s="523"/>
      <c r="E150" s="523"/>
      <c r="F150" s="523"/>
      <c r="G150" s="523"/>
      <c r="H150" s="96" t="s">
        <v>309</v>
      </c>
      <c r="L150" s="38"/>
    </row>
    <row r="151" spans="2:14" x14ac:dyDescent="0.25">
      <c r="B151" s="523"/>
      <c r="C151" s="56" t="s">
        <v>233</v>
      </c>
      <c r="D151" s="57" t="s">
        <v>234</v>
      </c>
      <c r="E151" s="57" t="s">
        <v>47</v>
      </c>
      <c r="F151" s="57" t="s">
        <v>37</v>
      </c>
      <c r="G151" s="58" t="s">
        <v>48</v>
      </c>
      <c r="H151" s="58" t="s">
        <v>235</v>
      </c>
      <c r="L151" s="38"/>
    </row>
    <row r="152" spans="2:14" x14ac:dyDescent="0.25">
      <c r="B152" s="59" t="s">
        <v>50</v>
      </c>
      <c r="C152" s="59">
        <v>88264</v>
      </c>
      <c r="D152" s="60" t="s">
        <v>466</v>
      </c>
      <c r="E152" s="59" t="s">
        <v>54</v>
      </c>
      <c r="F152" s="61">
        <v>7.0000000000000007E-2</v>
      </c>
      <c r="G152" s="62">
        <f>G142</f>
        <v>22.67</v>
      </c>
      <c r="H152" s="68">
        <f>G152*F152</f>
        <v>1.59</v>
      </c>
      <c r="L152" s="38"/>
    </row>
    <row r="153" spans="2:14" ht="38.25" x14ac:dyDescent="0.25">
      <c r="B153" s="59" t="s">
        <v>49</v>
      </c>
      <c r="C153" s="59">
        <v>1562</v>
      </c>
      <c r="D153" s="60" t="s">
        <v>483</v>
      </c>
      <c r="E153" s="59" t="s">
        <v>309</v>
      </c>
      <c r="F153" s="61">
        <v>1</v>
      </c>
      <c r="G153" s="62">
        <v>15.9</v>
      </c>
      <c r="H153" s="68">
        <f>G153*F153</f>
        <v>15.9</v>
      </c>
      <c r="L153" s="38"/>
    </row>
    <row r="154" spans="2:14" x14ac:dyDescent="0.25">
      <c r="B154" s="559" t="s">
        <v>554</v>
      </c>
      <c r="C154" s="559"/>
      <c r="D154" s="559"/>
      <c r="E154" s="154"/>
      <c r="F154" s="154"/>
      <c r="G154" s="155" t="s">
        <v>5</v>
      </c>
      <c r="H154" s="235">
        <f>SUM(H152:H153)</f>
        <v>17.489999999999998</v>
      </c>
      <c r="K154" s="38" t="s">
        <v>558</v>
      </c>
      <c r="L154" s="38" t="s">
        <v>559</v>
      </c>
      <c r="M154" s="15" t="s">
        <v>309</v>
      </c>
      <c r="N154" s="15" t="s">
        <v>332</v>
      </c>
    </row>
    <row r="155" spans="2:14" x14ac:dyDescent="0.25">
      <c r="B155" s="522"/>
      <c r="C155" s="522"/>
      <c r="D155" s="522"/>
      <c r="E155" s="522"/>
      <c r="F155" s="522"/>
      <c r="G155" s="522"/>
      <c r="H155" s="522"/>
      <c r="K155" s="38" t="s">
        <v>560</v>
      </c>
      <c r="L155" s="38" t="s">
        <v>561</v>
      </c>
      <c r="M155" s="15" t="s">
        <v>309</v>
      </c>
      <c r="N155" s="15" t="s">
        <v>562</v>
      </c>
    </row>
    <row r="156" spans="2:14" ht="27" customHeight="1" x14ac:dyDescent="0.25">
      <c r="B156" s="523" t="s">
        <v>1146</v>
      </c>
      <c r="C156" s="540" t="s">
        <v>1147</v>
      </c>
      <c r="D156" s="523"/>
      <c r="E156" s="523"/>
      <c r="F156" s="523"/>
      <c r="G156" s="523"/>
      <c r="H156" s="96" t="s">
        <v>309</v>
      </c>
      <c r="K156" s="38" t="s">
        <v>563</v>
      </c>
      <c r="L156" s="38" t="s">
        <v>465</v>
      </c>
      <c r="M156" s="15" t="s">
        <v>54</v>
      </c>
      <c r="N156" s="15" t="s">
        <v>564</v>
      </c>
    </row>
    <row r="157" spans="2:14" x14ac:dyDescent="0.25">
      <c r="B157" s="523"/>
      <c r="C157" s="56" t="s">
        <v>233</v>
      </c>
      <c r="D157" s="57" t="s">
        <v>234</v>
      </c>
      <c r="E157" s="57" t="s">
        <v>47</v>
      </c>
      <c r="F157" s="57" t="s">
        <v>37</v>
      </c>
      <c r="G157" s="58" t="s">
        <v>48</v>
      </c>
      <c r="H157" s="58" t="s">
        <v>235</v>
      </c>
      <c r="K157" s="38" t="s">
        <v>553</v>
      </c>
      <c r="L157" s="38" t="s">
        <v>466</v>
      </c>
      <c r="M157" s="15" t="s">
        <v>54</v>
      </c>
      <c r="N157" s="15" t="s">
        <v>565</v>
      </c>
    </row>
    <row r="158" spans="2:14" x14ac:dyDescent="0.25">
      <c r="B158" s="59" t="s">
        <v>50</v>
      </c>
      <c r="C158" s="59">
        <v>88264</v>
      </c>
      <c r="D158" s="60" t="s">
        <v>466</v>
      </c>
      <c r="E158" s="59" t="s">
        <v>54</v>
      </c>
      <c r="F158" s="61">
        <v>0.08</v>
      </c>
      <c r="G158" s="62">
        <f>G152</f>
        <v>22.67</v>
      </c>
      <c r="H158" s="68">
        <f>G158*F158</f>
        <v>1.81</v>
      </c>
      <c r="L158" s="38"/>
    </row>
    <row r="159" spans="2:14" ht="25.5" x14ac:dyDescent="0.25">
      <c r="B159" s="65" t="s">
        <v>49</v>
      </c>
      <c r="C159" s="65">
        <v>425</v>
      </c>
      <c r="D159" s="225" t="s">
        <v>1148</v>
      </c>
      <c r="E159" s="65" t="s">
        <v>309</v>
      </c>
      <c r="F159" s="67">
        <v>1</v>
      </c>
      <c r="G159" s="68">
        <v>6.21</v>
      </c>
      <c r="H159" s="68">
        <f>G159*F159</f>
        <v>6.21</v>
      </c>
      <c r="L159" s="38"/>
    </row>
    <row r="160" spans="2:14" x14ac:dyDescent="0.25">
      <c r="B160" s="559" t="s">
        <v>557</v>
      </c>
      <c r="C160" s="559"/>
      <c r="D160" s="559"/>
      <c r="E160" s="154"/>
      <c r="F160" s="154"/>
      <c r="G160" s="155" t="s">
        <v>5</v>
      </c>
      <c r="H160" s="235">
        <f>SUM(H158:H159)</f>
        <v>8.02</v>
      </c>
      <c r="I160" s="148"/>
      <c r="L160" s="38"/>
    </row>
    <row r="161" spans="2:12" x14ac:dyDescent="0.25">
      <c r="B161" s="522"/>
      <c r="C161" s="522"/>
      <c r="D161" s="522"/>
      <c r="E161" s="522"/>
      <c r="F161" s="522"/>
      <c r="G161" s="522"/>
      <c r="H161" s="522"/>
      <c r="L161" s="38"/>
    </row>
    <row r="162" spans="2:12" ht="27" customHeight="1" x14ac:dyDescent="0.25">
      <c r="B162" s="523" t="s">
        <v>1149</v>
      </c>
      <c r="C162" s="540" t="s">
        <v>798</v>
      </c>
      <c r="D162" s="523"/>
      <c r="E162" s="523"/>
      <c r="F162" s="523"/>
      <c r="G162" s="523"/>
      <c r="H162" s="96" t="s">
        <v>309</v>
      </c>
      <c r="L162" s="38"/>
    </row>
    <row r="163" spans="2:12" x14ac:dyDescent="0.25">
      <c r="B163" s="523"/>
      <c r="C163" s="56" t="s">
        <v>233</v>
      </c>
      <c r="D163" s="57" t="s">
        <v>234</v>
      </c>
      <c r="E163" s="57" t="s">
        <v>47</v>
      </c>
      <c r="F163" s="57" t="s">
        <v>37</v>
      </c>
      <c r="G163" s="58" t="s">
        <v>48</v>
      </c>
      <c r="H163" s="58" t="s">
        <v>235</v>
      </c>
      <c r="L163" s="38"/>
    </row>
    <row r="164" spans="2:12" x14ac:dyDescent="0.25">
      <c r="B164" s="65" t="s">
        <v>50</v>
      </c>
      <c r="C164" s="65">
        <v>88264</v>
      </c>
      <c r="D164" s="66" t="s">
        <v>466</v>
      </c>
      <c r="E164" s="65" t="s">
        <v>54</v>
      </c>
      <c r="F164" s="67">
        <v>0.08</v>
      </c>
      <c r="G164" s="68">
        <f>G158</f>
        <v>22.67</v>
      </c>
      <c r="H164" s="68">
        <f>G164*F164</f>
        <v>1.81</v>
      </c>
      <c r="L164" s="38"/>
    </row>
    <row r="165" spans="2:12" ht="25.5" x14ac:dyDescent="0.25">
      <c r="B165" s="65" t="s">
        <v>324</v>
      </c>
      <c r="C165" s="65" t="str">
        <f>COTAÇÕES!C9</f>
        <v>COT 001</v>
      </c>
      <c r="D165" s="226" t="s">
        <v>556</v>
      </c>
      <c r="E165" s="65" t="s">
        <v>309</v>
      </c>
      <c r="F165" s="67">
        <v>1</v>
      </c>
      <c r="G165" s="68">
        <f>COTAÇÕES!J9</f>
        <v>1.74</v>
      </c>
      <c r="H165" s="68">
        <f>G165*F165</f>
        <v>1.74</v>
      </c>
      <c r="L165" s="38"/>
    </row>
    <row r="166" spans="2:12" x14ac:dyDescent="0.25">
      <c r="B166" s="559" t="s">
        <v>557</v>
      </c>
      <c r="C166" s="559"/>
      <c r="D166" s="559"/>
      <c r="E166" s="154"/>
      <c r="F166" s="154"/>
      <c r="G166" s="155" t="s">
        <v>5</v>
      </c>
      <c r="H166" s="235">
        <f>SUM(H164:H165)</f>
        <v>3.55</v>
      </c>
      <c r="L166" s="38"/>
    </row>
    <row r="167" spans="2:12" x14ac:dyDescent="0.25">
      <c r="B167" s="522"/>
      <c r="C167" s="522"/>
      <c r="D167" s="522"/>
      <c r="E167" s="522"/>
      <c r="F167" s="522"/>
      <c r="G167" s="522"/>
      <c r="H167" s="522"/>
      <c r="L167" s="38"/>
    </row>
    <row r="168" spans="2:12" ht="27" customHeight="1" x14ac:dyDescent="0.25">
      <c r="B168" s="523" t="s">
        <v>1150</v>
      </c>
      <c r="C168" s="540" t="s">
        <v>1151</v>
      </c>
      <c r="D168" s="523"/>
      <c r="E168" s="523"/>
      <c r="F168" s="523"/>
      <c r="G168" s="523"/>
      <c r="H168" s="96" t="s">
        <v>248</v>
      </c>
      <c r="L168" s="38"/>
    </row>
    <row r="169" spans="2:12" x14ac:dyDescent="0.25">
      <c r="B169" s="523"/>
      <c r="C169" s="56" t="s">
        <v>233</v>
      </c>
      <c r="D169" s="57" t="s">
        <v>234</v>
      </c>
      <c r="E169" s="57" t="s">
        <v>47</v>
      </c>
      <c r="F169" s="57" t="s">
        <v>37</v>
      </c>
      <c r="G169" s="58" t="s">
        <v>48</v>
      </c>
      <c r="H169" s="58" t="s">
        <v>235</v>
      </c>
      <c r="L169" s="38"/>
    </row>
    <row r="170" spans="2:12" x14ac:dyDescent="0.25">
      <c r="B170" s="65" t="s">
        <v>50</v>
      </c>
      <c r="C170" s="59">
        <v>88247</v>
      </c>
      <c r="D170" s="60" t="s">
        <v>465</v>
      </c>
      <c r="E170" s="59" t="s">
        <v>54</v>
      </c>
      <c r="F170" s="202">
        <v>0.15</v>
      </c>
      <c r="G170" s="62">
        <f>G141</f>
        <v>18.809999999999999</v>
      </c>
      <c r="H170" s="68">
        <f>G170*F170</f>
        <v>2.82</v>
      </c>
      <c r="L170" s="38"/>
    </row>
    <row r="171" spans="2:12" x14ac:dyDescent="0.25">
      <c r="B171" s="65" t="s">
        <v>50</v>
      </c>
      <c r="C171" s="59">
        <v>88264</v>
      </c>
      <c r="D171" s="60" t="s">
        <v>466</v>
      </c>
      <c r="E171" s="59" t="s">
        <v>54</v>
      </c>
      <c r="F171" s="202">
        <v>0.15</v>
      </c>
      <c r="G171" s="62">
        <f>G142</f>
        <v>22.67</v>
      </c>
      <c r="H171" s="68">
        <f>G171*F171</f>
        <v>3.4</v>
      </c>
      <c r="L171" s="38"/>
    </row>
    <row r="172" spans="2:12" ht="25.5" x14ac:dyDescent="0.25">
      <c r="B172" s="65" t="s">
        <v>50</v>
      </c>
      <c r="C172" s="59">
        <v>95541</v>
      </c>
      <c r="D172" s="60" t="s">
        <v>1152</v>
      </c>
      <c r="E172" s="65" t="s">
        <v>309</v>
      </c>
      <c r="F172" s="202">
        <v>3</v>
      </c>
      <c r="G172" s="62">
        <v>3.91</v>
      </c>
      <c r="H172" s="68">
        <f>G172*F172</f>
        <v>11.73</v>
      </c>
      <c r="L172" s="38"/>
    </row>
    <row r="173" spans="2:12" x14ac:dyDescent="0.25">
      <c r="B173" s="65" t="s">
        <v>49</v>
      </c>
      <c r="C173" s="65" t="str">
        <f>COTAÇÕES!C12</f>
        <v>COT 002</v>
      </c>
      <c r="D173" s="225" t="s">
        <v>1153</v>
      </c>
      <c r="E173" s="65" t="s">
        <v>248</v>
      </c>
      <c r="F173" s="67">
        <v>1</v>
      </c>
      <c r="G173" s="68">
        <f>COTAÇÕES!J12</f>
        <v>13</v>
      </c>
      <c r="H173" s="68">
        <f>G173*F173</f>
        <v>13</v>
      </c>
      <c r="L173" s="38"/>
    </row>
    <row r="174" spans="2:12" x14ac:dyDescent="0.25">
      <c r="B174" s="559" t="s">
        <v>1154</v>
      </c>
      <c r="C174" s="559"/>
      <c r="D174" s="559"/>
      <c r="E174" s="154"/>
      <c r="F174" s="154"/>
      <c r="G174" s="155" t="s">
        <v>5</v>
      </c>
      <c r="H174" s="235">
        <f>SUM(H170:H173)</f>
        <v>30.95</v>
      </c>
      <c r="I174" s="148"/>
      <c r="L174" s="38"/>
    </row>
    <row r="175" spans="2:12" x14ac:dyDescent="0.25">
      <c r="B175" s="522"/>
      <c r="C175" s="522"/>
      <c r="D175" s="522"/>
      <c r="E175" s="522"/>
      <c r="F175" s="522"/>
      <c r="G175" s="522"/>
      <c r="H175" s="522"/>
      <c r="L175" s="38"/>
    </row>
    <row r="176" spans="2:12" ht="27" customHeight="1" x14ac:dyDescent="0.25">
      <c r="B176" s="523" t="s">
        <v>1155</v>
      </c>
      <c r="C176" s="540" t="s">
        <v>1274</v>
      </c>
      <c r="D176" s="523"/>
      <c r="E176" s="523"/>
      <c r="F176" s="523"/>
      <c r="G176" s="523"/>
      <c r="H176" s="96" t="s">
        <v>47</v>
      </c>
      <c r="L176" s="38"/>
    </row>
    <row r="177" spans="2:12" x14ac:dyDescent="0.25">
      <c r="B177" s="523"/>
      <c r="C177" s="56" t="s">
        <v>233</v>
      </c>
      <c r="D177" s="57" t="s">
        <v>234</v>
      </c>
      <c r="E177" s="57" t="s">
        <v>47</v>
      </c>
      <c r="F177" s="57" t="s">
        <v>37</v>
      </c>
      <c r="G177" s="58" t="s">
        <v>48</v>
      </c>
      <c r="H177" s="58" t="s">
        <v>235</v>
      </c>
      <c r="L177" s="38"/>
    </row>
    <row r="178" spans="2:12" x14ac:dyDescent="0.25">
      <c r="B178" s="65" t="s">
        <v>50</v>
      </c>
      <c r="C178" s="59">
        <v>88247</v>
      </c>
      <c r="D178" s="60" t="s">
        <v>465</v>
      </c>
      <c r="E178" s="59" t="s">
        <v>54</v>
      </c>
      <c r="F178" s="202">
        <v>0.15</v>
      </c>
      <c r="G178" s="62">
        <f>G170</f>
        <v>18.809999999999999</v>
      </c>
      <c r="H178" s="68">
        <f>G178*F178</f>
        <v>2.82</v>
      </c>
      <c r="L178" s="38"/>
    </row>
    <row r="179" spans="2:12" x14ac:dyDescent="0.25">
      <c r="B179" s="65" t="s">
        <v>50</v>
      </c>
      <c r="C179" s="59">
        <v>88264</v>
      </c>
      <c r="D179" s="60" t="s">
        <v>466</v>
      </c>
      <c r="E179" s="59" t="s">
        <v>54</v>
      </c>
      <c r="F179" s="202">
        <v>0.15</v>
      </c>
      <c r="G179" s="62">
        <f>G171</f>
        <v>22.67</v>
      </c>
      <c r="H179" s="68">
        <f>G179*F179</f>
        <v>3.4</v>
      </c>
      <c r="L179" s="38"/>
    </row>
    <row r="180" spans="2:12" ht="25.5" x14ac:dyDescent="0.25">
      <c r="B180" s="65" t="s">
        <v>50</v>
      </c>
      <c r="C180" s="59">
        <v>95541</v>
      </c>
      <c r="D180" s="60" t="s">
        <v>1152</v>
      </c>
      <c r="E180" s="65" t="s">
        <v>309</v>
      </c>
      <c r="F180" s="202">
        <v>1</v>
      </c>
      <c r="G180" s="62">
        <f>G172</f>
        <v>3.91</v>
      </c>
      <c r="H180" s="68">
        <f>G180*F180</f>
        <v>3.91</v>
      </c>
      <c r="L180" s="38"/>
    </row>
    <row r="181" spans="2:12" ht="25.5" x14ac:dyDescent="0.25">
      <c r="B181" s="65" t="s">
        <v>49</v>
      </c>
      <c r="C181" s="59">
        <v>1578</v>
      </c>
      <c r="D181" s="60" t="s">
        <v>1156</v>
      </c>
      <c r="E181" s="65" t="s">
        <v>309</v>
      </c>
      <c r="F181" s="202">
        <v>1</v>
      </c>
      <c r="G181" s="62">
        <v>5.21</v>
      </c>
      <c r="H181" s="68">
        <f>G181*F181</f>
        <v>5.21</v>
      </c>
      <c r="L181" s="38"/>
    </row>
    <row r="182" spans="2:12" x14ac:dyDescent="0.25">
      <c r="B182" s="559" t="s">
        <v>1154</v>
      </c>
      <c r="C182" s="559"/>
      <c r="D182" s="559"/>
      <c r="E182" s="154"/>
      <c r="F182" s="154"/>
      <c r="G182" s="155" t="s">
        <v>5</v>
      </c>
      <c r="H182" s="235">
        <f>SUM(H178:H181)</f>
        <v>15.34</v>
      </c>
      <c r="L182" s="38"/>
    </row>
    <row r="183" spans="2:12" x14ac:dyDescent="0.25">
      <c r="B183" s="522"/>
      <c r="C183" s="522"/>
      <c r="D183" s="522"/>
      <c r="E183" s="522"/>
      <c r="F183" s="522"/>
      <c r="G183" s="522"/>
      <c r="H183" s="522"/>
      <c r="L183" s="38"/>
    </row>
    <row r="184" spans="2:12" ht="27" customHeight="1" x14ac:dyDescent="0.25">
      <c r="B184" s="523" t="s">
        <v>1157</v>
      </c>
      <c r="C184" s="540" t="s">
        <v>1158</v>
      </c>
      <c r="D184" s="523"/>
      <c r="E184" s="523"/>
      <c r="F184" s="523"/>
      <c r="G184" s="523"/>
      <c r="H184" s="96" t="s">
        <v>47</v>
      </c>
      <c r="L184" s="38"/>
    </row>
    <row r="185" spans="2:12" x14ac:dyDescent="0.25">
      <c r="B185" s="523"/>
      <c r="C185" s="56" t="s">
        <v>233</v>
      </c>
      <c r="D185" s="57" t="s">
        <v>234</v>
      </c>
      <c r="E185" s="57" t="s">
        <v>47</v>
      </c>
      <c r="F185" s="57" t="s">
        <v>37</v>
      </c>
      <c r="G185" s="58" t="s">
        <v>48</v>
      </c>
      <c r="H185" s="58" t="s">
        <v>235</v>
      </c>
      <c r="L185" s="38"/>
    </row>
    <row r="186" spans="2:12" x14ac:dyDescent="0.25">
      <c r="B186" s="65" t="s">
        <v>50</v>
      </c>
      <c r="C186" s="59">
        <v>88247</v>
      </c>
      <c r="D186" s="60" t="s">
        <v>465</v>
      </c>
      <c r="E186" s="59" t="s">
        <v>54</v>
      </c>
      <c r="F186" s="64" t="s">
        <v>1159</v>
      </c>
      <c r="G186" s="62">
        <f>G178</f>
        <v>18.809999999999999</v>
      </c>
      <c r="H186" s="68">
        <f>G186*F186</f>
        <v>2.0499999999999998</v>
      </c>
      <c r="L186" s="38"/>
    </row>
    <row r="187" spans="2:12" x14ac:dyDescent="0.25">
      <c r="B187" s="65" t="s">
        <v>50</v>
      </c>
      <c r="C187" s="59">
        <v>88264</v>
      </c>
      <c r="D187" s="60" t="s">
        <v>466</v>
      </c>
      <c r="E187" s="59" t="s">
        <v>54</v>
      </c>
      <c r="F187" s="64" t="s">
        <v>1160</v>
      </c>
      <c r="G187" s="62">
        <f>G179</f>
        <v>22.67</v>
      </c>
      <c r="H187" s="68">
        <f>G187*F187</f>
        <v>3.14</v>
      </c>
      <c r="L187" s="38"/>
    </row>
    <row r="188" spans="2:12" ht="25.5" x14ac:dyDescent="0.25">
      <c r="B188" s="65" t="s">
        <v>49</v>
      </c>
      <c r="C188" s="59">
        <v>41475</v>
      </c>
      <c r="D188" s="60" t="s">
        <v>1158</v>
      </c>
      <c r="E188" s="65" t="s">
        <v>309</v>
      </c>
      <c r="F188" s="202">
        <v>1</v>
      </c>
      <c r="G188" s="62">
        <v>80.650000000000006</v>
      </c>
      <c r="H188" s="68">
        <f>G188*F188</f>
        <v>80.650000000000006</v>
      </c>
      <c r="L188" s="38"/>
    </row>
    <row r="189" spans="2:12" x14ac:dyDescent="0.25">
      <c r="B189" s="559" t="s">
        <v>1597</v>
      </c>
      <c r="C189" s="559"/>
      <c r="D189" s="559"/>
      <c r="E189" s="154"/>
      <c r="F189" s="154"/>
      <c r="G189" s="155" t="s">
        <v>5</v>
      </c>
      <c r="H189" s="235">
        <f>SUM(H186:H188)</f>
        <v>85.84</v>
      </c>
      <c r="L189" s="38"/>
    </row>
    <row r="190" spans="2:12" x14ac:dyDescent="0.25">
      <c r="B190" s="522"/>
      <c r="C190" s="522"/>
      <c r="D190" s="522"/>
      <c r="E190" s="522"/>
      <c r="F190" s="522"/>
      <c r="G190" s="522"/>
      <c r="H190" s="522"/>
      <c r="L190" s="38"/>
    </row>
    <row r="191" spans="2:12" ht="27" customHeight="1" x14ac:dyDescent="0.25">
      <c r="B191" s="523" t="s">
        <v>1161</v>
      </c>
      <c r="C191" s="540" t="s">
        <v>1276</v>
      </c>
      <c r="D191" s="523"/>
      <c r="E191" s="523"/>
      <c r="F191" s="523"/>
      <c r="G191" s="523"/>
      <c r="H191" s="96" t="s">
        <v>47</v>
      </c>
      <c r="L191" s="38"/>
    </row>
    <row r="192" spans="2:12" x14ac:dyDescent="0.25">
      <c r="B192" s="523"/>
      <c r="C192" s="56" t="s">
        <v>233</v>
      </c>
      <c r="D192" s="57" t="s">
        <v>234</v>
      </c>
      <c r="E192" s="57" t="s">
        <v>47</v>
      </c>
      <c r="F192" s="57" t="s">
        <v>37</v>
      </c>
      <c r="G192" s="58" t="s">
        <v>48</v>
      </c>
      <c r="H192" s="58" t="s">
        <v>235</v>
      </c>
      <c r="L192" s="38"/>
    </row>
    <row r="193" spans="2:12" x14ac:dyDescent="0.25">
      <c r="B193" s="65" t="s">
        <v>50</v>
      </c>
      <c r="C193" s="59" t="s">
        <v>563</v>
      </c>
      <c r="D193" s="60" t="s">
        <v>465</v>
      </c>
      <c r="E193" s="59" t="s">
        <v>54</v>
      </c>
      <c r="F193" s="64" t="s">
        <v>1162</v>
      </c>
      <c r="G193" s="62">
        <f>G186</f>
        <v>18.809999999999999</v>
      </c>
      <c r="H193" s="68">
        <f>G193*F193</f>
        <v>18.149999999999999</v>
      </c>
      <c r="L193" s="38"/>
    </row>
    <row r="194" spans="2:12" x14ac:dyDescent="0.25">
      <c r="B194" s="65" t="s">
        <v>50</v>
      </c>
      <c r="C194" s="59" t="s">
        <v>553</v>
      </c>
      <c r="D194" s="60" t="s">
        <v>466</v>
      </c>
      <c r="E194" s="59" t="s">
        <v>54</v>
      </c>
      <c r="F194" s="64" t="s">
        <v>1162</v>
      </c>
      <c r="G194" s="62">
        <f>G187</f>
        <v>22.67</v>
      </c>
      <c r="H194" s="68">
        <f>G194*F194</f>
        <v>21.88</v>
      </c>
      <c r="L194" s="38"/>
    </row>
    <row r="195" spans="2:12" ht="38.25" x14ac:dyDescent="0.25">
      <c r="B195" s="59" t="s">
        <v>49</v>
      </c>
      <c r="C195" s="59" t="s">
        <v>1163</v>
      </c>
      <c r="D195" s="60" t="s">
        <v>1164</v>
      </c>
      <c r="E195" s="59" t="s">
        <v>309</v>
      </c>
      <c r="F195" s="64" t="s">
        <v>562</v>
      </c>
      <c r="G195" s="62">
        <v>155.97999999999999</v>
      </c>
      <c r="H195" s="68">
        <f>G195*F195</f>
        <v>155.97999999999999</v>
      </c>
      <c r="L195" s="38"/>
    </row>
    <row r="196" spans="2:12" ht="38.25" x14ac:dyDescent="0.25">
      <c r="B196" s="59" t="s">
        <v>296</v>
      </c>
      <c r="C196" s="59">
        <v>87367</v>
      </c>
      <c r="D196" s="60" t="s">
        <v>1165</v>
      </c>
      <c r="E196" s="59" t="s">
        <v>257</v>
      </c>
      <c r="F196" s="64" t="s">
        <v>1166</v>
      </c>
      <c r="G196" s="62">
        <v>701.95</v>
      </c>
      <c r="H196" s="68">
        <f>G196*F196</f>
        <v>9.83</v>
      </c>
      <c r="L196" s="38"/>
    </row>
    <row r="197" spans="2:12" x14ac:dyDescent="0.25">
      <c r="B197" s="59" t="s">
        <v>49</v>
      </c>
      <c r="C197" s="59" t="str">
        <f>COTAÇÕES!C15</f>
        <v>COT 003</v>
      </c>
      <c r="D197" s="60" t="s">
        <v>1167</v>
      </c>
      <c r="E197" s="65" t="s">
        <v>309</v>
      </c>
      <c r="F197" s="202">
        <v>1</v>
      </c>
      <c r="G197" s="62">
        <f>COTAÇÕES!J15</f>
        <v>115.54</v>
      </c>
      <c r="H197" s="68">
        <f>G197*F197</f>
        <v>115.54</v>
      </c>
      <c r="L197" s="38"/>
    </row>
    <row r="198" spans="2:12" x14ac:dyDescent="0.25">
      <c r="B198" s="559" t="s">
        <v>1598</v>
      </c>
      <c r="C198" s="559"/>
      <c r="D198" s="559"/>
      <c r="E198" s="154"/>
      <c r="F198" s="154"/>
      <c r="G198" s="155" t="s">
        <v>5</v>
      </c>
      <c r="H198" s="235">
        <f>SUM(H193:H197)</f>
        <v>321.38</v>
      </c>
      <c r="L198" s="38"/>
    </row>
    <row r="199" spans="2:12" x14ac:dyDescent="0.25">
      <c r="B199" s="522"/>
      <c r="C199" s="522"/>
      <c r="D199" s="522"/>
      <c r="E199" s="522"/>
      <c r="F199" s="522"/>
      <c r="G199" s="522"/>
      <c r="H199" s="522"/>
      <c r="L199" s="38"/>
    </row>
    <row r="200" spans="2:12" ht="27" customHeight="1" x14ac:dyDescent="0.25">
      <c r="B200" s="523" t="s">
        <v>1168</v>
      </c>
      <c r="C200" s="540" t="s">
        <v>1169</v>
      </c>
      <c r="D200" s="523"/>
      <c r="E200" s="523"/>
      <c r="F200" s="523"/>
      <c r="G200" s="523"/>
      <c r="H200" s="96" t="s">
        <v>47</v>
      </c>
      <c r="L200" s="38"/>
    </row>
    <row r="201" spans="2:12" x14ac:dyDescent="0.25">
      <c r="B201" s="523"/>
      <c r="C201" s="56" t="s">
        <v>233</v>
      </c>
      <c r="D201" s="57" t="s">
        <v>234</v>
      </c>
      <c r="E201" s="57" t="s">
        <v>47</v>
      </c>
      <c r="F201" s="57" t="s">
        <v>37</v>
      </c>
      <c r="G201" s="58" t="s">
        <v>48</v>
      </c>
      <c r="H201" s="58" t="s">
        <v>235</v>
      </c>
      <c r="L201" s="38"/>
    </row>
    <row r="202" spans="2:12" x14ac:dyDescent="0.25">
      <c r="B202" s="65" t="s">
        <v>50</v>
      </c>
      <c r="C202" s="59">
        <v>88247</v>
      </c>
      <c r="D202" s="60" t="s">
        <v>465</v>
      </c>
      <c r="E202" s="59" t="s">
        <v>54</v>
      </c>
      <c r="F202" s="202">
        <v>0.15</v>
      </c>
      <c r="G202" s="62">
        <f>G193</f>
        <v>18.809999999999999</v>
      </c>
      <c r="H202" s="68">
        <f>G202*F202</f>
        <v>2.82</v>
      </c>
      <c r="L202" s="38"/>
    </row>
    <row r="203" spans="2:12" x14ac:dyDescent="0.25">
      <c r="B203" s="65" t="s">
        <v>50</v>
      </c>
      <c r="C203" s="59">
        <v>88264</v>
      </c>
      <c r="D203" s="60" t="s">
        <v>466</v>
      </c>
      <c r="E203" s="59" t="s">
        <v>54</v>
      </c>
      <c r="F203" s="202">
        <v>0.15</v>
      </c>
      <c r="G203" s="62">
        <f>G194</f>
        <v>22.67</v>
      </c>
      <c r="H203" s="68">
        <f>G203*F203</f>
        <v>3.4</v>
      </c>
      <c r="L203" s="38"/>
    </row>
    <row r="204" spans="2:12" ht="25.5" x14ac:dyDescent="0.25">
      <c r="B204" s="65" t="s">
        <v>49</v>
      </c>
      <c r="C204" s="59">
        <v>1576</v>
      </c>
      <c r="D204" s="60" t="s">
        <v>1170</v>
      </c>
      <c r="E204" s="65" t="s">
        <v>309</v>
      </c>
      <c r="F204" s="202">
        <v>1</v>
      </c>
      <c r="G204" s="62">
        <v>2.67</v>
      </c>
      <c r="H204" s="68">
        <f>G204*F204</f>
        <v>2.67</v>
      </c>
      <c r="L204" s="38"/>
    </row>
    <row r="205" spans="2:12" x14ac:dyDescent="0.25">
      <c r="B205" s="559" t="s">
        <v>1522</v>
      </c>
      <c r="C205" s="559"/>
      <c r="D205" s="559"/>
      <c r="E205" s="154"/>
      <c r="F205" s="154"/>
      <c r="G205" s="155" t="s">
        <v>5</v>
      </c>
      <c r="H205" s="235">
        <f>SUM(H202:H204)</f>
        <v>8.89</v>
      </c>
      <c r="L205" s="38"/>
    </row>
    <row r="206" spans="2:12" x14ac:dyDescent="0.25">
      <c r="B206" s="522"/>
      <c r="C206" s="522"/>
      <c r="D206" s="522"/>
      <c r="E206" s="522"/>
      <c r="F206" s="522"/>
      <c r="G206" s="522"/>
      <c r="H206" s="522"/>
      <c r="L206" s="38"/>
    </row>
    <row r="207" spans="2:12" ht="27" customHeight="1" x14ac:dyDescent="0.25">
      <c r="B207" s="523" t="s">
        <v>1171</v>
      </c>
      <c r="C207" s="540" t="s">
        <v>1172</v>
      </c>
      <c r="D207" s="523"/>
      <c r="E207" s="523"/>
      <c r="F207" s="523"/>
      <c r="G207" s="523"/>
      <c r="H207" s="96" t="s">
        <v>47</v>
      </c>
      <c r="L207" s="38"/>
    </row>
    <row r="208" spans="2:12" x14ac:dyDescent="0.25">
      <c r="B208" s="523"/>
      <c r="C208" s="56" t="s">
        <v>233</v>
      </c>
      <c r="D208" s="57" t="s">
        <v>234</v>
      </c>
      <c r="E208" s="57" t="s">
        <v>47</v>
      </c>
      <c r="F208" s="57" t="s">
        <v>37</v>
      </c>
      <c r="G208" s="58" t="s">
        <v>48</v>
      </c>
      <c r="H208" s="58" t="s">
        <v>235</v>
      </c>
      <c r="L208" s="38"/>
    </row>
    <row r="209" spans="2:12" x14ac:dyDescent="0.25">
      <c r="B209" s="65" t="s">
        <v>50</v>
      </c>
      <c r="C209" s="59">
        <v>88247</v>
      </c>
      <c r="D209" s="60" t="s">
        <v>465</v>
      </c>
      <c r="E209" s="59" t="s">
        <v>54</v>
      </c>
      <c r="F209" s="202">
        <v>0.15</v>
      </c>
      <c r="G209" s="62">
        <f>G202</f>
        <v>18.809999999999999</v>
      </c>
      <c r="H209" s="68">
        <f>G209*F209</f>
        <v>2.82</v>
      </c>
      <c r="L209" s="38"/>
    </row>
    <row r="210" spans="2:12" x14ac:dyDescent="0.25">
      <c r="B210" s="65" t="s">
        <v>50</v>
      </c>
      <c r="C210" s="59">
        <v>88264</v>
      </c>
      <c r="D210" s="60" t="s">
        <v>466</v>
      </c>
      <c r="E210" s="59" t="s">
        <v>54</v>
      </c>
      <c r="F210" s="202">
        <v>0.15</v>
      </c>
      <c r="G210" s="62">
        <f>G203</f>
        <v>22.67</v>
      </c>
      <c r="H210" s="68">
        <f>G210*F210</f>
        <v>3.4</v>
      </c>
      <c r="L210" s="38"/>
    </row>
    <row r="211" spans="2:12" ht="25.5" x14ac:dyDescent="0.25">
      <c r="B211" s="65" t="s">
        <v>49</v>
      </c>
      <c r="C211" s="59">
        <v>1577</v>
      </c>
      <c r="D211" s="60" t="s">
        <v>1173</v>
      </c>
      <c r="E211" s="65" t="s">
        <v>309</v>
      </c>
      <c r="F211" s="202">
        <v>1</v>
      </c>
      <c r="G211" s="62">
        <v>3.01</v>
      </c>
      <c r="H211" s="68">
        <f>G211*F211</f>
        <v>3.01</v>
      </c>
      <c r="L211" s="38"/>
    </row>
    <row r="212" spans="2:12" x14ac:dyDescent="0.25">
      <c r="B212" s="559" t="s">
        <v>1522</v>
      </c>
      <c r="C212" s="559"/>
      <c r="D212" s="559"/>
      <c r="E212" s="154"/>
      <c r="F212" s="154"/>
      <c r="G212" s="155" t="s">
        <v>5</v>
      </c>
      <c r="H212" s="235">
        <f>SUM(H209:H211)</f>
        <v>9.23</v>
      </c>
      <c r="L212" s="38"/>
    </row>
    <row r="213" spans="2:12" x14ac:dyDescent="0.25">
      <c r="B213" s="522"/>
      <c r="C213" s="522"/>
      <c r="D213" s="522"/>
      <c r="E213" s="522"/>
      <c r="F213" s="522"/>
      <c r="G213" s="522"/>
      <c r="H213" s="522"/>
      <c r="L213" s="38"/>
    </row>
    <row r="214" spans="2:12" ht="27" customHeight="1" x14ac:dyDescent="0.25">
      <c r="B214" s="523" t="s">
        <v>1174</v>
      </c>
      <c r="C214" s="540" t="s">
        <v>1175</v>
      </c>
      <c r="D214" s="523"/>
      <c r="E214" s="523"/>
      <c r="F214" s="523"/>
      <c r="G214" s="523"/>
      <c r="H214" s="96" t="s">
        <v>47</v>
      </c>
      <c r="L214" s="38"/>
    </row>
    <row r="215" spans="2:12" x14ac:dyDescent="0.25">
      <c r="B215" s="523"/>
      <c r="C215" s="56" t="s">
        <v>233</v>
      </c>
      <c r="D215" s="57" t="s">
        <v>234</v>
      </c>
      <c r="E215" s="57" t="s">
        <v>47</v>
      </c>
      <c r="F215" s="57" t="s">
        <v>37</v>
      </c>
      <c r="G215" s="58" t="s">
        <v>48</v>
      </c>
      <c r="H215" s="58" t="s">
        <v>235</v>
      </c>
      <c r="L215" s="38"/>
    </row>
    <row r="216" spans="2:12" x14ac:dyDescent="0.25">
      <c r="B216" s="65" t="s">
        <v>50</v>
      </c>
      <c r="C216" s="59">
        <v>88247</v>
      </c>
      <c r="D216" s="60" t="s">
        <v>465</v>
      </c>
      <c r="E216" s="59" t="s">
        <v>54</v>
      </c>
      <c r="F216" s="202">
        <v>0.15</v>
      </c>
      <c r="G216" s="62">
        <f>G209</f>
        <v>18.809999999999999</v>
      </c>
      <c r="H216" s="68">
        <f>G216*F216</f>
        <v>2.82</v>
      </c>
      <c r="L216" s="38"/>
    </row>
    <row r="217" spans="2:12" x14ac:dyDescent="0.25">
      <c r="B217" s="65" t="s">
        <v>50</v>
      </c>
      <c r="C217" s="59">
        <v>88264</v>
      </c>
      <c r="D217" s="60" t="s">
        <v>466</v>
      </c>
      <c r="E217" s="59" t="s">
        <v>54</v>
      </c>
      <c r="F217" s="202">
        <v>0.15</v>
      </c>
      <c r="G217" s="62">
        <f>G210</f>
        <v>22.67</v>
      </c>
      <c r="H217" s="68">
        <f>G217*F217</f>
        <v>3.4</v>
      </c>
      <c r="L217" s="38"/>
    </row>
    <row r="218" spans="2:12" ht="25.5" x14ac:dyDescent="0.25">
      <c r="B218" s="65" t="s">
        <v>49</v>
      </c>
      <c r="C218" s="59">
        <v>1579</v>
      </c>
      <c r="D218" s="60" t="s">
        <v>1176</v>
      </c>
      <c r="E218" s="65" t="s">
        <v>309</v>
      </c>
      <c r="F218" s="202">
        <v>1</v>
      </c>
      <c r="G218" s="62">
        <v>6.5</v>
      </c>
      <c r="H218" s="68">
        <f>G218*F218</f>
        <v>6.5</v>
      </c>
      <c r="L218" s="38"/>
    </row>
    <row r="219" spans="2:12" x14ac:dyDescent="0.25">
      <c r="B219" s="559" t="s">
        <v>1522</v>
      </c>
      <c r="C219" s="559"/>
      <c r="D219" s="559"/>
      <c r="E219" s="154"/>
      <c r="F219" s="154"/>
      <c r="G219" s="155" t="s">
        <v>5</v>
      </c>
      <c r="H219" s="235">
        <f>SUM(H216:H218)</f>
        <v>12.72</v>
      </c>
      <c r="L219" s="38"/>
    </row>
    <row r="220" spans="2:12" x14ac:dyDescent="0.25">
      <c r="B220" s="522"/>
      <c r="C220" s="522"/>
      <c r="D220" s="522"/>
      <c r="E220" s="522"/>
      <c r="F220" s="522"/>
      <c r="G220" s="522"/>
      <c r="H220" s="522"/>
      <c r="L220" s="38"/>
    </row>
    <row r="221" spans="2:12" ht="27" customHeight="1" x14ac:dyDescent="0.25">
      <c r="B221" s="523" t="s">
        <v>1177</v>
      </c>
      <c r="C221" s="540" t="s">
        <v>1178</v>
      </c>
      <c r="D221" s="523"/>
      <c r="E221" s="523"/>
      <c r="F221" s="523"/>
      <c r="G221" s="523"/>
      <c r="H221" s="96" t="s">
        <v>47</v>
      </c>
      <c r="L221" s="38"/>
    </row>
    <row r="222" spans="2:12" x14ac:dyDescent="0.25">
      <c r="B222" s="523"/>
      <c r="C222" s="56" t="s">
        <v>233</v>
      </c>
      <c r="D222" s="57" t="s">
        <v>234</v>
      </c>
      <c r="E222" s="57" t="s">
        <v>47</v>
      </c>
      <c r="F222" s="57" t="s">
        <v>37</v>
      </c>
      <c r="G222" s="58" t="s">
        <v>48</v>
      </c>
      <c r="H222" s="58" t="s">
        <v>235</v>
      </c>
      <c r="L222" s="38"/>
    </row>
    <row r="223" spans="2:12" x14ac:dyDescent="0.25">
      <c r="B223" s="65" t="s">
        <v>50</v>
      </c>
      <c r="C223" s="59">
        <v>88247</v>
      </c>
      <c r="D223" s="60" t="s">
        <v>465</v>
      </c>
      <c r="E223" s="59" t="s">
        <v>54</v>
      </c>
      <c r="F223" s="202">
        <v>0.15</v>
      </c>
      <c r="G223" s="62">
        <f>G216</f>
        <v>18.809999999999999</v>
      </c>
      <c r="H223" s="68">
        <f>G223*F223</f>
        <v>2.82</v>
      </c>
      <c r="L223" s="38"/>
    </row>
    <row r="224" spans="2:12" x14ac:dyDescent="0.25">
      <c r="B224" s="65" t="s">
        <v>50</v>
      </c>
      <c r="C224" s="59">
        <v>88264</v>
      </c>
      <c r="D224" s="60" t="s">
        <v>466</v>
      </c>
      <c r="E224" s="59" t="s">
        <v>54</v>
      </c>
      <c r="F224" s="202">
        <v>0.15</v>
      </c>
      <c r="G224" s="62">
        <f>G217</f>
        <v>22.67</v>
      </c>
      <c r="H224" s="68">
        <f>G224*F224</f>
        <v>3.4</v>
      </c>
      <c r="L224" s="38"/>
    </row>
    <row r="225" spans="2:12" ht="38.25" x14ac:dyDescent="0.25">
      <c r="B225" s="65" t="s">
        <v>49</v>
      </c>
      <c r="C225" s="59">
        <v>1581</v>
      </c>
      <c r="D225" s="60" t="s">
        <v>1179</v>
      </c>
      <c r="E225" s="65" t="s">
        <v>309</v>
      </c>
      <c r="F225" s="202">
        <v>1</v>
      </c>
      <c r="G225" s="62">
        <v>11.26</v>
      </c>
      <c r="H225" s="68">
        <f>G225*F225</f>
        <v>11.26</v>
      </c>
      <c r="L225" s="38"/>
    </row>
    <row r="226" spans="2:12" x14ac:dyDescent="0.25">
      <c r="B226" s="559" t="s">
        <v>1522</v>
      </c>
      <c r="C226" s="559"/>
      <c r="D226" s="559"/>
      <c r="E226" s="154"/>
      <c r="F226" s="154"/>
      <c r="G226" s="155" t="s">
        <v>5</v>
      </c>
      <c r="H226" s="235">
        <f>SUM(H223:H225)</f>
        <v>17.48</v>
      </c>
      <c r="L226" s="38"/>
    </row>
    <row r="227" spans="2:12" x14ac:dyDescent="0.25">
      <c r="B227" s="522"/>
      <c r="C227" s="522"/>
      <c r="D227" s="522"/>
      <c r="E227" s="522"/>
      <c r="F227" s="522"/>
      <c r="G227" s="522"/>
      <c r="H227" s="522"/>
      <c r="L227" s="38"/>
    </row>
    <row r="228" spans="2:12" ht="27" customHeight="1" x14ac:dyDescent="0.25">
      <c r="B228" s="523" t="s">
        <v>1180</v>
      </c>
      <c r="C228" s="540" t="s">
        <v>1181</v>
      </c>
      <c r="D228" s="523"/>
      <c r="E228" s="523"/>
      <c r="F228" s="523"/>
      <c r="G228" s="523"/>
      <c r="H228" s="96" t="s">
        <v>47</v>
      </c>
      <c r="L228" s="38"/>
    </row>
    <row r="229" spans="2:12" x14ac:dyDescent="0.25">
      <c r="B229" s="523"/>
      <c r="C229" s="56" t="s">
        <v>233</v>
      </c>
      <c r="D229" s="57" t="s">
        <v>234</v>
      </c>
      <c r="E229" s="57" t="s">
        <v>47</v>
      </c>
      <c r="F229" s="57" t="s">
        <v>37</v>
      </c>
      <c r="G229" s="58" t="s">
        <v>48</v>
      </c>
      <c r="H229" s="58" t="s">
        <v>235</v>
      </c>
      <c r="L229" s="38"/>
    </row>
    <row r="230" spans="2:12" x14ac:dyDescent="0.25">
      <c r="B230" s="65" t="s">
        <v>50</v>
      </c>
      <c r="C230" s="59">
        <v>88247</v>
      </c>
      <c r="D230" s="60" t="s">
        <v>465</v>
      </c>
      <c r="E230" s="59" t="s">
        <v>54</v>
      </c>
      <c r="F230" s="64" t="s">
        <v>1182</v>
      </c>
      <c r="G230" s="62">
        <f>G223</f>
        <v>18.809999999999999</v>
      </c>
      <c r="H230" s="68">
        <f>G230*F230</f>
        <v>0.56000000000000005</v>
      </c>
      <c r="L230" s="38"/>
    </row>
    <row r="231" spans="2:12" x14ac:dyDescent="0.25">
      <c r="B231" s="65" t="s">
        <v>50</v>
      </c>
      <c r="C231" s="59">
        <v>88264</v>
      </c>
      <c r="D231" s="60" t="s">
        <v>466</v>
      </c>
      <c r="E231" s="59" t="s">
        <v>54</v>
      </c>
      <c r="F231" s="64" t="s">
        <v>1182</v>
      </c>
      <c r="G231" s="62">
        <f>G224</f>
        <v>22.67</v>
      </c>
      <c r="H231" s="68">
        <f>G231*F231</f>
        <v>0.68</v>
      </c>
      <c r="L231" s="38"/>
    </row>
    <row r="232" spans="2:12" ht="25.5" x14ac:dyDescent="0.25">
      <c r="B232" s="59" t="s">
        <v>49</v>
      </c>
      <c r="C232" s="59" t="s">
        <v>1183</v>
      </c>
      <c r="D232" s="60" t="s">
        <v>1184</v>
      </c>
      <c r="E232" s="59" t="s">
        <v>309</v>
      </c>
      <c r="F232" s="64" t="s">
        <v>1185</v>
      </c>
      <c r="G232" s="62">
        <v>4.53</v>
      </c>
      <c r="H232" s="68">
        <f>G232*F232</f>
        <v>0.04</v>
      </c>
      <c r="L232" s="38"/>
    </row>
    <row r="233" spans="2:12" ht="38.25" x14ac:dyDescent="0.25">
      <c r="B233" s="65" t="s">
        <v>49</v>
      </c>
      <c r="C233" s="59">
        <v>39258</v>
      </c>
      <c r="D233" s="60" t="s">
        <v>1186</v>
      </c>
      <c r="E233" s="65" t="s">
        <v>309</v>
      </c>
      <c r="F233" s="202">
        <v>1</v>
      </c>
      <c r="G233" s="62">
        <v>8.2200000000000006</v>
      </c>
      <c r="H233" s="68">
        <f>G233*F233</f>
        <v>8.2200000000000006</v>
      </c>
      <c r="L233" s="38"/>
    </row>
    <row r="234" spans="2:12" x14ac:dyDescent="0.25">
      <c r="B234" s="559" t="s">
        <v>1572</v>
      </c>
      <c r="C234" s="559"/>
      <c r="D234" s="559"/>
      <c r="E234" s="154"/>
      <c r="F234" s="154"/>
      <c r="G234" s="155" t="s">
        <v>5</v>
      </c>
      <c r="H234" s="235">
        <f>SUM(H230:H233)</f>
        <v>9.5</v>
      </c>
      <c r="L234" s="38"/>
    </row>
    <row r="235" spans="2:12" x14ac:dyDescent="0.25">
      <c r="B235" s="522"/>
      <c r="C235" s="522"/>
      <c r="D235" s="522"/>
      <c r="E235" s="522"/>
      <c r="F235" s="522"/>
      <c r="G235" s="522"/>
      <c r="H235" s="522"/>
      <c r="L235" s="38"/>
    </row>
    <row r="236" spans="2:12" ht="27" customHeight="1" x14ac:dyDescent="0.25">
      <c r="B236" s="523" t="s">
        <v>1187</v>
      </c>
      <c r="C236" s="540" t="s">
        <v>1290</v>
      </c>
      <c r="D236" s="523"/>
      <c r="E236" s="523"/>
      <c r="F236" s="523"/>
      <c r="G236" s="523"/>
      <c r="H236" s="96" t="s">
        <v>47</v>
      </c>
      <c r="L236" s="38"/>
    </row>
    <row r="237" spans="2:12" x14ac:dyDescent="0.25">
      <c r="B237" s="523"/>
      <c r="C237" s="56" t="s">
        <v>233</v>
      </c>
      <c r="D237" s="57" t="s">
        <v>234</v>
      </c>
      <c r="E237" s="57" t="s">
        <v>47</v>
      </c>
      <c r="F237" s="57" t="s">
        <v>37</v>
      </c>
      <c r="G237" s="58" t="s">
        <v>48</v>
      </c>
      <c r="H237" s="58" t="s">
        <v>235</v>
      </c>
      <c r="L237" s="38"/>
    </row>
    <row r="238" spans="2:12" x14ac:dyDescent="0.25">
      <c r="B238" s="65" t="s">
        <v>50</v>
      </c>
      <c r="C238" s="59">
        <v>88247</v>
      </c>
      <c r="D238" s="60" t="s">
        <v>465</v>
      </c>
      <c r="E238" s="59" t="s">
        <v>54</v>
      </c>
      <c r="F238" s="64" t="s">
        <v>1188</v>
      </c>
      <c r="G238" s="62">
        <f>G230</f>
        <v>18.809999999999999</v>
      </c>
      <c r="H238" s="68">
        <f>G238*F238</f>
        <v>6.12</v>
      </c>
      <c r="L238" s="38"/>
    </row>
    <row r="239" spans="2:12" x14ac:dyDescent="0.25">
      <c r="B239" s="65" t="s">
        <v>50</v>
      </c>
      <c r="C239" s="59">
        <v>88264</v>
      </c>
      <c r="D239" s="60" t="s">
        <v>466</v>
      </c>
      <c r="E239" s="59" t="s">
        <v>54</v>
      </c>
      <c r="F239" s="64" t="s">
        <v>1188</v>
      </c>
      <c r="G239" s="62">
        <f>G231</f>
        <v>22.67</v>
      </c>
      <c r="H239" s="68">
        <f>G239*F239</f>
        <v>7.37</v>
      </c>
      <c r="L239" s="38"/>
    </row>
    <row r="240" spans="2:12" x14ac:dyDescent="0.25">
      <c r="B240" s="59" t="s">
        <v>49</v>
      </c>
      <c r="C240" s="59" t="s">
        <v>1189</v>
      </c>
      <c r="D240" s="60" t="s">
        <v>1190</v>
      </c>
      <c r="E240" s="59" t="s">
        <v>248</v>
      </c>
      <c r="F240" s="64" t="s">
        <v>1191</v>
      </c>
      <c r="G240" s="62">
        <v>51.02</v>
      </c>
      <c r="H240" s="68">
        <f>G240*F240</f>
        <v>53.57</v>
      </c>
      <c r="L240" s="38"/>
    </row>
    <row r="241" spans="2:12" x14ac:dyDescent="0.25">
      <c r="B241" s="559" t="s">
        <v>1573</v>
      </c>
      <c r="C241" s="559"/>
      <c r="D241" s="559"/>
      <c r="E241" s="154"/>
      <c r="F241" s="154"/>
      <c r="G241" s="155" t="s">
        <v>5</v>
      </c>
      <c r="H241" s="235">
        <f>SUM(H238:H240)</f>
        <v>67.06</v>
      </c>
      <c r="L241" s="38"/>
    </row>
    <row r="242" spans="2:12" x14ac:dyDescent="0.25">
      <c r="B242" s="522"/>
      <c r="C242" s="522"/>
      <c r="D242" s="522"/>
      <c r="E242" s="522"/>
      <c r="F242" s="522"/>
      <c r="G242" s="522"/>
      <c r="H242" s="522"/>
      <c r="L242" s="38"/>
    </row>
    <row r="243" spans="2:12" ht="27" customHeight="1" x14ac:dyDescent="0.25">
      <c r="B243" s="523" t="s">
        <v>1192</v>
      </c>
      <c r="C243" s="540" t="s">
        <v>1193</v>
      </c>
      <c r="D243" s="523"/>
      <c r="E243" s="523"/>
      <c r="F243" s="523"/>
      <c r="G243" s="523"/>
      <c r="H243" s="96" t="s">
        <v>47</v>
      </c>
      <c r="L243" s="38"/>
    </row>
    <row r="244" spans="2:12" x14ac:dyDescent="0.25">
      <c r="B244" s="523"/>
      <c r="C244" s="56" t="s">
        <v>233</v>
      </c>
      <c r="D244" s="57" t="s">
        <v>234</v>
      </c>
      <c r="E244" s="57" t="s">
        <v>47</v>
      </c>
      <c r="F244" s="57" t="s">
        <v>37</v>
      </c>
      <c r="G244" s="58" t="s">
        <v>48</v>
      </c>
      <c r="H244" s="58" t="s">
        <v>235</v>
      </c>
      <c r="L244" s="38"/>
    </row>
    <row r="245" spans="2:12" x14ac:dyDescent="0.25">
      <c r="B245" s="65" t="s">
        <v>50</v>
      </c>
      <c r="C245" s="59">
        <v>88247</v>
      </c>
      <c r="D245" s="60" t="s">
        <v>465</v>
      </c>
      <c r="E245" s="59" t="s">
        <v>54</v>
      </c>
      <c r="F245" s="227">
        <v>0.5</v>
      </c>
      <c r="G245" s="62">
        <f>G230</f>
        <v>18.809999999999999</v>
      </c>
      <c r="H245" s="68">
        <f>G245*F245</f>
        <v>9.41</v>
      </c>
      <c r="L245" s="38"/>
    </row>
    <row r="246" spans="2:12" x14ac:dyDescent="0.25">
      <c r="B246" s="65" t="s">
        <v>50</v>
      </c>
      <c r="C246" s="59">
        <v>88264</v>
      </c>
      <c r="D246" s="60" t="s">
        <v>466</v>
      </c>
      <c r="E246" s="59" t="s">
        <v>54</v>
      </c>
      <c r="F246" s="227">
        <v>0.5</v>
      </c>
      <c r="G246" s="62">
        <f>G231</f>
        <v>22.67</v>
      </c>
      <c r="H246" s="68">
        <f>G246*F246</f>
        <v>11.34</v>
      </c>
      <c r="L246" s="38"/>
    </row>
    <row r="247" spans="2:12" ht="114.75" x14ac:dyDescent="0.25">
      <c r="B247" s="59" t="s">
        <v>49</v>
      </c>
      <c r="C247" s="59" t="str">
        <f>COTAÇÕES!C18</f>
        <v>COT 004</v>
      </c>
      <c r="D247" s="60" t="s">
        <v>1194</v>
      </c>
      <c r="E247" s="65" t="s">
        <v>309</v>
      </c>
      <c r="F247" s="202">
        <v>1</v>
      </c>
      <c r="G247" s="62">
        <f>COTAÇÕES!J18</f>
        <v>325.14999999999998</v>
      </c>
      <c r="H247" s="68">
        <f>G247*F247</f>
        <v>325.14999999999998</v>
      </c>
      <c r="L247" s="38"/>
    </row>
    <row r="248" spans="2:12" x14ac:dyDescent="0.25">
      <c r="B248" s="559" t="s">
        <v>1522</v>
      </c>
      <c r="C248" s="559"/>
      <c r="D248" s="559"/>
      <c r="E248" s="154"/>
      <c r="F248" s="154"/>
      <c r="G248" s="155" t="s">
        <v>5</v>
      </c>
      <c r="H248" s="235">
        <f>SUM(H245:H247)</f>
        <v>345.9</v>
      </c>
      <c r="L248" s="38"/>
    </row>
    <row r="249" spans="2:12" x14ac:dyDescent="0.25">
      <c r="B249" s="522"/>
      <c r="C249" s="522"/>
      <c r="D249" s="522"/>
      <c r="E249" s="522"/>
      <c r="F249" s="522"/>
      <c r="G249" s="522"/>
      <c r="H249" s="522"/>
      <c r="L249" s="38"/>
    </row>
    <row r="250" spans="2:12" ht="27" customHeight="1" x14ac:dyDescent="0.25">
      <c r="B250" s="523" t="s">
        <v>1195</v>
      </c>
      <c r="C250" s="540" t="s">
        <v>1196</v>
      </c>
      <c r="D250" s="523"/>
      <c r="E250" s="523"/>
      <c r="F250" s="523"/>
      <c r="G250" s="523"/>
      <c r="H250" s="96" t="s">
        <v>47</v>
      </c>
      <c r="L250" s="38"/>
    </row>
    <row r="251" spans="2:12" x14ac:dyDescent="0.25">
      <c r="B251" s="523"/>
      <c r="C251" s="56" t="s">
        <v>233</v>
      </c>
      <c r="D251" s="57" t="s">
        <v>234</v>
      </c>
      <c r="E251" s="57" t="s">
        <v>47</v>
      </c>
      <c r="F251" s="57" t="s">
        <v>37</v>
      </c>
      <c r="G251" s="58" t="s">
        <v>48</v>
      </c>
      <c r="H251" s="58" t="s">
        <v>235</v>
      </c>
      <c r="L251" s="38"/>
    </row>
    <row r="252" spans="2:12" x14ac:dyDescent="0.25">
      <c r="B252" s="65" t="s">
        <v>50</v>
      </c>
      <c r="C252" s="59">
        <v>88247</v>
      </c>
      <c r="D252" s="60" t="s">
        <v>465</v>
      </c>
      <c r="E252" s="59" t="s">
        <v>54</v>
      </c>
      <c r="F252" s="228">
        <v>0.5</v>
      </c>
      <c r="G252" s="62">
        <f>G245</f>
        <v>18.809999999999999</v>
      </c>
      <c r="H252" s="68">
        <f>G252*F252</f>
        <v>9.41</v>
      </c>
      <c r="L252" s="38"/>
    </row>
    <row r="253" spans="2:12" x14ac:dyDescent="0.25">
      <c r="B253" s="65" t="s">
        <v>50</v>
      </c>
      <c r="C253" s="59">
        <v>88264</v>
      </c>
      <c r="D253" s="60" t="s">
        <v>466</v>
      </c>
      <c r="E253" s="59" t="s">
        <v>54</v>
      </c>
      <c r="F253" s="228">
        <v>0.5</v>
      </c>
      <c r="G253" s="62">
        <f>G246</f>
        <v>22.67</v>
      </c>
      <c r="H253" s="68">
        <f>G253*F253</f>
        <v>11.34</v>
      </c>
      <c r="L253" s="38"/>
    </row>
    <row r="254" spans="2:12" ht="51" x14ac:dyDescent="0.25">
      <c r="B254" s="59" t="s">
        <v>49</v>
      </c>
      <c r="C254" s="59" t="str">
        <f>COTAÇÕES!C21</f>
        <v>COT 005</v>
      </c>
      <c r="D254" s="60" t="s">
        <v>1197</v>
      </c>
      <c r="E254" s="65" t="s">
        <v>309</v>
      </c>
      <c r="F254" s="202">
        <v>1</v>
      </c>
      <c r="G254" s="62">
        <f>COTAÇÕES!J21</f>
        <v>219</v>
      </c>
      <c r="H254" s="68">
        <f>G254*F254</f>
        <v>219</v>
      </c>
      <c r="L254" s="38"/>
    </row>
    <row r="255" spans="2:12" x14ac:dyDescent="0.25">
      <c r="B255" s="559" t="str">
        <f>B248</f>
        <v>COMPOSIÇÃO DEFINIDA PELO PROJETISTA</v>
      </c>
      <c r="C255" s="559"/>
      <c r="D255" s="559"/>
      <c r="E255" s="154"/>
      <c r="F255" s="154"/>
      <c r="G255" s="155" t="s">
        <v>5</v>
      </c>
      <c r="H255" s="235">
        <f>SUM(H252:H254)</f>
        <v>239.75</v>
      </c>
      <c r="L255" s="38"/>
    </row>
    <row r="256" spans="2:12" x14ac:dyDescent="0.25">
      <c r="B256" s="522"/>
      <c r="C256" s="522"/>
      <c r="D256" s="522"/>
      <c r="E256" s="522"/>
      <c r="F256" s="522"/>
      <c r="G256" s="522"/>
      <c r="H256" s="522"/>
      <c r="L256" s="38"/>
    </row>
    <row r="257" spans="2:12" ht="27" customHeight="1" x14ac:dyDescent="0.25">
      <c r="B257" s="523" t="s">
        <v>1198</v>
      </c>
      <c r="C257" s="540" t="s">
        <v>1199</v>
      </c>
      <c r="D257" s="523"/>
      <c r="E257" s="523"/>
      <c r="F257" s="523"/>
      <c r="G257" s="523"/>
      <c r="H257" s="96" t="s">
        <v>47</v>
      </c>
      <c r="L257" s="38"/>
    </row>
    <row r="258" spans="2:12" x14ac:dyDescent="0.25">
      <c r="B258" s="523"/>
      <c r="C258" s="56" t="s">
        <v>233</v>
      </c>
      <c r="D258" s="57" t="s">
        <v>234</v>
      </c>
      <c r="E258" s="57" t="s">
        <v>47</v>
      </c>
      <c r="F258" s="57" t="s">
        <v>37</v>
      </c>
      <c r="G258" s="58" t="s">
        <v>48</v>
      </c>
      <c r="H258" s="58" t="s">
        <v>235</v>
      </c>
      <c r="L258" s="38"/>
    </row>
    <row r="259" spans="2:12" x14ac:dyDescent="0.25">
      <c r="B259" s="65" t="s">
        <v>50</v>
      </c>
      <c r="C259" s="59">
        <v>88247</v>
      </c>
      <c r="D259" s="60" t="s">
        <v>465</v>
      </c>
      <c r="E259" s="59" t="s">
        <v>54</v>
      </c>
      <c r="F259" s="64" t="s">
        <v>1200</v>
      </c>
      <c r="G259" s="62">
        <f>G252</f>
        <v>18.809999999999999</v>
      </c>
      <c r="H259" s="68">
        <f>G259*F259</f>
        <v>11.92</v>
      </c>
      <c r="L259" s="38"/>
    </row>
    <row r="260" spans="2:12" x14ac:dyDescent="0.25">
      <c r="B260" s="65" t="s">
        <v>50</v>
      </c>
      <c r="C260" s="59">
        <v>88264</v>
      </c>
      <c r="D260" s="60" t="s">
        <v>466</v>
      </c>
      <c r="E260" s="59" t="s">
        <v>54</v>
      </c>
      <c r="F260" s="64" t="s">
        <v>1200</v>
      </c>
      <c r="G260" s="62">
        <f>G253</f>
        <v>22.67</v>
      </c>
      <c r="H260" s="68">
        <f>G260*F260</f>
        <v>14.37</v>
      </c>
      <c r="L260" s="38"/>
    </row>
    <row r="261" spans="2:12" ht="38.25" x14ac:dyDescent="0.25">
      <c r="B261" s="59" t="s">
        <v>296</v>
      </c>
      <c r="C261" s="59">
        <v>87367</v>
      </c>
      <c r="D261" s="60" t="s">
        <v>1165</v>
      </c>
      <c r="E261" s="59" t="s">
        <v>257</v>
      </c>
      <c r="F261" s="64" t="s">
        <v>1201</v>
      </c>
      <c r="G261" s="62">
        <v>701.95</v>
      </c>
      <c r="H261" s="68">
        <f>G261*F261</f>
        <v>13.48</v>
      </c>
      <c r="L261" s="38"/>
    </row>
    <row r="262" spans="2:12" ht="38.25" x14ac:dyDescent="0.25">
      <c r="B262" s="65" t="s">
        <v>49</v>
      </c>
      <c r="C262" s="59">
        <v>12043</v>
      </c>
      <c r="D262" s="158" t="s">
        <v>1202</v>
      </c>
      <c r="E262" s="65" t="s">
        <v>309</v>
      </c>
      <c r="F262" s="202">
        <v>1</v>
      </c>
      <c r="G262" s="62">
        <v>1469.02</v>
      </c>
      <c r="H262" s="68">
        <f>G262*F262</f>
        <v>1469.02</v>
      </c>
      <c r="L262" s="38"/>
    </row>
    <row r="263" spans="2:12" x14ac:dyDescent="0.25">
      <c r="B263" s="559" t="s">
        <v>1574</v>
      </c>
      <c r="C263" s="559"/>
      <c r="D263" s="559"/>
      <c r="E263" s="154"/>
      <c r="F263" s="154"/>
      <c r="G263" s="155" t="s">
        <v>5</v>
      </c>
      <c r="H263" s="235">
        <f>SUM(H259:H262)</f>
        <v>1508.79</v>
      </c>
      <c r="L263" s="38"/>
    </row>
    <row r="264" spans="2:12" x14ac:dyDescent="0.25">
      <c r="B264" s="522"/>
      <c r="C264" s="522"/>
      <c r="D264" s="522"/>
      <c r="E264" s="522"/>
      <c r="F264" s="522"/>
      <c r="G264" s="522"/>
      <c r="H264" s="522"/>
      <c r="L264" s="38"/>
    </row>
    <row r="265" spans="2:12" ht="27" customHeight="1" x14ac:dyDescent="0.25">
      <c r="B265" s="523" t="s">
        <v>1203</v>
      </c>
      <c r="C265" s="540" t="s">
        <v>1204</v>
      </c>
      <c r="D265" s="523"/>
      <c r="E265" s="523"/>
      <c r="F265" s="523"/>
      <c r="G265" s="523"/>
      <c r="H265" s="96" t="s">
        <v>47</v>
      </c>
      <c r="L265" s="38"/>
    </row>
    <row r="266" spans="2:12" x14ac:dyDescent="0.25">
      <c r="B266" s="523"/>
      <c r="C266" s="56" t="s">
        <v>233</v>
      </c>
      <c r="D266" s="57" t="s">
        <v>234</v>
      </c>
      <c r="E266" s="57" t="s">
        <v>47</v>
      </c>
      <c r="F266" s="57" t="s">
        <v>37</v>
      </c>
      <c r="G266" s="58" t="s">
        <v>48</v>
      </c>
      <c r="H266" s="58" t="s">
        <v>235</v>
      </c>
      <c r="L266" s="38"/>
    </row>
    <row r="267" spans="2:12" x14ac:dyDescent="0.25">
      <c r="B267" s="65" t="s">
        <v>50</v>
      </c>
      <c r="C267" s="59">
        <v>88247</v>
      </c>
      <c r="D267" s="60" t="s">
        <v>465</v>
      </c>
      <c r="E267" s="59" t="s">
        <v>54</v>
      </c>
      <c r="F267" s="64" t="s">
        <v>1200</v>
      </c>
      <c r="G267" s="62">
        <f>G259</f>
        <v>18.809999999999999</v>
      </c>
      <c r="H267" s="68">
        <f>G267*F267</f>
        <v>11.92</v>
      </c>
      <c r="L267" s="38"/>
    </row>
    <row r="268" spans="2:12" x14ac:dyDescent="0.25">
      <c r="B268" s="65" t="s">
        <v>50</v>
      </c>
      <c r="C268" s="59">
        <v>88264</v>
      </c>
      <c r="D268" s="60" t="s">
        <v>466</v>
      </c>
      <c r="E268" s="59" t="s">
        <v>54</v>
      </c>
      <c r="F268" s="64" t="s">
        <v>1200</v>
      </c>
      <c r="G268" s="62">
        <f>G260</f>
        <v>22.67</v>
      </c>
      <c r="H268" s="68">
        <f>G268*F268</f>
        <v>14.37</v>
      </c>
      <c r="L268" s="38"/>
    </row>
    <row r="269" spans="2:12" ht="25.5" x14ac:dyDescent="0.25">
      <c r="B269" s="59" t="s">
        <v>49</v>
      </c>
      <c r="C269" s="59" t="s">
        <v>1205</v>
      </c>
      <c r="D269" s="60" t="s">
        <v>1206</v>
      </c>
      <c r="E269" s="59" t="s">
        <v>309</v>
      </c>
      <c r="F269" s="64">
        <v>2</v>
      </c>
      <c r="G269" s="62">
        <v>1.92</v>
      </c>
      <c r="H269" s="68">
        <f>G269*F269</f>
        <v>3.84</v>
      </c>
      <c r="L269" s="38"/>
    </row>
    <row r="270" spans="2:12" ht="25.5" x14ac:dyDescent="0.25">
      <c r="B270" s="65" t="s">
        <v>49</v>
      </c>
      <c r="C270" s="59">
        <v>39469</v>
      </c>
      <c r="D270" s="158" t="s">
        <v>1207</v>
      </c>
      <c r="E270" s="65" t="s">
        <v>309</v>
      </c>
      <c r="F270" s="202">
        <v>1</v>
      </c>
      <c r="G270" s="62">
        <v>79.16</v>
      </c>
      <c r="H270" s="68">
        <f>G270*F270</f>
        <v>79.16</v>
      </c>
      <c r="L270" s="38"/>
    </row>
    <row r="271" spans="2:12" x14ac:dyDescent="0.25">
      <c r="B271" s="559" t="s">
        <v>1575</v>
      </c>
      <c r="C271" s="559"/>
      <c r="D271" s="559"/>
      <c r="E271" s="154"/>
      <c r="F271" s="154"/>
      <c r="G271" s="155" t="s">
        <v>5</v>
      </c>
      <c r="H271" s="235">
        <f>SUM(H267:H270)</f>
        <v>109.29</v>
      </c>
      <c r="L271" s="38"/>
    </row>
    <row r="272" spans="2:12" x14ac:dyDescent="0.25">
      <c r="B272" s="522"/>
      <c r="C272" s="522"/>
      <c r="D272" s="522"/>
      <c r="E272" s="522"/>
      <c r="F272" s="522"/>
      <c r="G272" s="522"/>
      <c r="H272" s="522"/>
      <c r="L272" s="38"/>
    </row>
    <row r="273" spans="2:12" ht="27" customHeight="1" x14ac:dyDescent="0.25">
      <c r="B273" s="523" t="s">
        <v>1208</v>
      </c>
      <c r="C273" s="540" t="s">
        <v>1209</v>
      </c>
      <c r="D273" s="523"/>
      <c r="E273" s="523"/>
      <c r="F273" s="523"/>
      <c r="G273" s="523"/>
      <c r="H273" s="96" t="s">
        <v>47</v>
      </c>
      <c r="L273" s="38"/>
    </row>
    <row r="274" spans="2:12" x14ac:dyDescent="0.25">
      <c r="B274" s="523"/>
      <c r="C274" s="56" t="s">
        <v>233</v>
      </c>
      <c r="D274" s="57" t="s">
        <v>234</v>
      </c>
      <c r="E274" s="57" t="s">
        <v>47</v>
      </c>
      <c r="F274" s="57" t="s">
        <v>37</v>
      </c>
      <c r="G274" s="58" t="s">
        <v>48</v>
      </c>
      <c r="H274" s="58" t="s">
        <v>235</v>
      </c>
      <c r="L274" s="38"/>
    </row>
    <row r="275" spans="2:12" x14ac:dyDescent="0.25">
      <c r="B275" s="65" t="s">
        <v>50</v>
      </c>
      <c r="C275" s="59">
        <v>88247</v>
      </c>
      <c r="D275" s="60" t="s">
        <v>465</v>
      </c>
      <c r="E275" s="59" t="s">
        <v>54</v>
      </c>
      <c r="F275" s="64" t="s">
        <v>1200</v>
      </c>
      <c r="G275" s="62">
        <f>G267</f>
        <v>18.809999999999999</v>
      </c>
      <c r="H275" s="68">
        <f>G275*F275</f>
        <v>11.92</v>
      </c>
      <c r="L275" s="38"/>
    </row>
    <row r="276" spans="2:12" x14ac:dyDescent="0.25">
      <c r="B276" s="65" t="s">
        <v>50</v>
      </c>
      <c r="C276" s="59">
        <v>88264</v>
      </c>
      <c r="D276" s="60" t="s">
        <v>466</v>
      </c>
      <c r="E276" s="59" t="s">
        <v>54</v>
      </c>
      <c r="F276" s="64" t="s">
        <v>1200</v>
      </c>
      <c r="G276" s="62">
        <f>G268</f>
        <v>22.67</v>
      </c>
      <c r="H276" s="68">
        <f>G276*F276</f>
        <v>14.37</v>
      </c>
      <c r="L276" s="38"/>
    </row>
    <row r="277" spans="2:12" ht="25.5" x14ac:dyDescent="0.25">
      <c r="B277" s="65" t="s">
        <v>49</v>
      </c>
      <c r="C277" s="59">
        <v>3295</v>
      </c>
      <c r="D277" s="158" t="s">
        <v>1210</v>
      </c>
      <c r="E277" s="65" t="s">
        <v>309</v>
      </c>
      <c r="F277" s="202">
        <v>1</v>
      </c>
      <c r="G277" s="62">
        <v>35.43</v>
      </c>
      <c r="H277" s="68">
        <f>G277*F277</f>
        <v>35.43</v>
      </c>
      <c r="L277" s="38"/>
    </row>
    <row r="278" spans="2:12" x14ac:dyDescent="0.25">
      <c r="B278" s="559" t="s">
        <v>1575</v>
      </c>
      <c r="C278" s="559"/>
      <c r="D278" s="559"/>
      <c r="E278" s="154"/>
      <c r="F278" s="154"/>
      <c r="G278" s="155" t="s">
        <v>5</v>
      </c>
      <c r="H278" s="235">
        <f>SUM(H275:H277)</f>
        <v>61.72</v>
      </c>
      <c r="L278" s="38"/>
    </row>
    <row r="279" spans="2:12" x14ac:dyDescent="0.25">
      <c r="B279" s="522"/>
      <c r="C279" s="522"/>
      <c r="D279" s="522"/>
      <c r="E279" s="522"/>
      <c r="F279" s="522"/>
      <c r="G279" s="522"/>
      <c r="H279" s="522"/>
      <c r="L279" s="38"/>
    </row>
    <row r="280" spans="2:12" ht="27" customHeight="1" x14ac:dyDescent="0.25">
      <c r="B280" s="523" t="s">
        <v>1211</v>
      </c>
      <c r="C280" s="540" t="s">
        <v>1212</v>
      </c>
      <c r="D280" s="523"/>
      <c r="E280" s="523"/>
      <c r="F280" s="523"/>
      <c r="G280" s="523"/>
      <c r="H280" s="96" t="s">
        <v>47</v>
      </c>
      <c r="L280" s="38"/>
    </row>
    <row r="281" spans="2:12" x14ac:dyDescent="0.25">
      <c r="B281" s="523"/>
      <c r="C281" s="56" t="s">
        <v>233</v>
      </c>
      <c r="D281" s="57" t="s">
        <v>234</v>
      </c>
      <c r="E281" s="57" t="s">
        <v>47</v>
      </c>
      <c r="F281" s="57" t="s">
        <v>37</v>
      </c>
      <c r="G281" s="58" t="s">
        <v>48</v>
      </c>
      <c r="H281" s="58" t="s">
        <v>235</v>
      </c>
      <c r="L281" s="38"/>
    </row>
    <row r="282" spans="2:12" x14ac:dyDescent="0.25">
      <c r="B282" s="65" t="s">
        <v>50</v>
      </c>
      <c r="C282" s="59">
        <v>88247</v>
      </c>
      <c r="D282" s="60" t="s">
        <v>465</v>
      </c>
      <c r="E282" s="59" t="s">
        <v>54</v>
      </c>
      <c r="F282" s="64" t="s">
        <v>1200</v>
      </c>
      <c r="G282" s="62">
        <f>G275</f>
        <v>18.809999999999999</v>
      </c>
      <c r="H282" s="68">
        <f>G282*F282</f>
        <v>11.92</v>
      </c>
      <c r="L282" s="38"/>
    </row>
    <row r="283" spans="2:12" x14ac:dyDescent="0.25">
      <c r="B283" s="65" t="s">
        <v>50</v>
      </c>
      <c r="C283" s="59">
        <v>88264</v>
      </c>
      <c r="D283" s="60" t="s">
        <v>466</v>
      </c>
      <c r="E283" s="59" t="s">
        <v>54</v>
      </c>
      <c r="F283" s="64" t="s">
        <v>1200</v>
      </c>
      <c r="G283" s="62">
        <f>G276</f>
        <v>22.67</v>
      </c>
      <c r="H283" s="68">
        <f>G283*F283</f>
        <v>14.37</v>
      </c>
      <c r="L283" s="38"/>
    </row>
    <row r="284" spans="2:12" ht="38.25" x14ac:dyDescent="0.25">
      <c r="B284" s="59" t="s">
        <v>296</v>
      </c>
      <c r="C284" s="59">
        <v>87367</v>
      </c>
      <c r="D284" s="60" t="s">
        <v>1165</v>
      </c>
      <c r="E284" s="59" t="s">
        <v>257</v>
      </c>
      <c r="F284" s="64" t="s">
        <v>1201</v>
      </c>
      <c r="G284" s="62">
        <f>G261</f>
        <v>701.95</v>
      </c>
      <c r="H284" s="68">
        <f>G284*F284</f>
        <v>13.48</v>
      </c>
      <c r="L284" s="38"/>
    </row>
    <row r="285" spans="2:12" ht="38.25" x14ac:dyDescent="0.25">
      <c r="B285" s="65" t="s">
        <v>49</v>
      </c>
      <c r="C285" s="59">
        <v>39763</v>
      </c>
      <c r="D285" s="158" t="s">
        <v>1213</v>
      </c>
      <c r="E285" s="65" t="s">
        <v>309</v>
      </c>
      <c r="F285" s="202">
        <v>1</v>
      </c>
      <c r="G285" s="62">
        <v>1194.8800000000001</v>
      </c>
      <c r="H285" s="68">
        <f>G285*F285</f>
        <v>1194.8800000000001</v>
      </c>
      <c r="L285" s="38"/>
    </row>
    <row r="286" spans="2:12" x14ac:dyDescent="0.25">
      <c r="B286" s="559" t="s">
        <v>1576</v>
      </c>
      <c r="C286" s="559"/>
      <c r="D286" s="559"/>
      <c r="E286" s="154"/>
      <c r="F286" s="154"/>
      <c r="G286" s="155" t="s">
        <v>5</v>
      </c>
      <c r="H286" s="235">
        <f>SUM(H282:H285)</f>
        <v>1234.6500000000001</v>
      </c>
      <c r="L286" s="38"/>
    </row>
    <row r="287" spans="2:12" x14ac:dyDescent="0.25">
      <c r="B287" s="522"/>
      <c r="C287" s="522"/>
      <c r="D287" s="522"/>
      <c r="E287" s="522"/>
      <c r="F287" s="522"/>
      <c r="G287" s="522"/>
      <c r="H287" s="522"/>
      <c r="L287" s="38"/>
    </row>
    <row r="288" spans="2:12" ht="27" customHeight="1" x14ac:dyDescent="0.25">
      <c r="B288" s="523" t="s">
        <v>1214</v>
      </c>
      <c r="C288" s="540" t="s">
        <v>1215</v>
      </c>
      <c r="D288" s="523"/>
      <c r="E288" s="523"/>
      <c r="F288" s="523"/>
      <c r="G288" s="523"/>
      <c r="H288" s="96" t="s">
        <v>47</v>
      </c>
      <c r="L288" s="38"/>
    </row>
    <row r="289" spans="2:12" x14ac:dyDescent="0.25">
      <c r="B289" s="523"/>
      <c r="C289" s="56" t="s">
        <v>233</v>
      </c>
      <c r="D289" s="57" t="s">
        <v>234</v>
      </c>
      <c r="E289" s="57" t="s">
        <v>47</v>
      </c>
      <c r="F289" s="57" t="s">
        <v>37</v>
      </c>
      <c r="G289" s="58" t="s">
        <v>48</v>
      </c>
      <c r="H289" s="58" t="s">
        <v>235</v>
      </c>
      <c r="L289" s="38"/>
    </row>
    <row r="290" spans="2:12" x14ac:dyDescent="0.25">
      <c r="B290" s="65" t="s">
        <v>50</v>
      </c>
      <c r="C290" s="59">
        <v>88247</v>
      </c>
      <c r="D290" s="60" t="s">
        <v>465</v>
      </c>
      <c r="E290" s="59" t="s">
        <v>54</v>
      </c>
      <c r="F290" s="64" t="s">
        <v>1200</v>
      </c>
      <c r="G290" s="62">
        <f>G282</f>
        <v>18.809999999999999</v>
      </c>
      <c r="H290" s="68">
        <f>G290*F290</f>
        <v>11.92</v>
      </c>
      <c r="L290" s="38"/>
    </row>
    <row r="291" spans="2:12" x14ac:dyDescent="0.25">
      <c r="B291" s="65" t="s">
        <v>50</v>
      </c>
      <c r="C291" s="59">
        <v>88264</v>
      </c>
      <c r="D291" s="60" t="s">
        <v>466</v>
      </c>
      <c r="E291" s="59" t="s">
        <v>54</v>
      </c>
      <c r="F291" s="64" t="s">
        <v>1200</v>
      </c>
      <c r="G291" s="62">
        <f>G283</f>
        <v>22.67</v>
      </c>
      <c r="H291" s="68">
        <f>G291*F291</f>
        <v>14.37</v>
      </c>
      <c r="L291" s="38"/>
    </row>
    <row r="292" spans="2:12" ht="25.5" x14ac:dyDescent="0.25">
      <c r="B292" s="59" t="s">
        <v>49</v>
      </c>
      <c r="C292" s="59">
        <v>1574</v>
      </c>
      <c r="D292" s="60" t="s">
        <v>1216</v>
      </c>
      <c r="E292" s="59" t="s">
        <v>309</v>
      </c>
      <c r="F292" s="64">
        <v>4</v>
      </c>
      <c r="G292" s="62">
        <v>1.62</v>
      </c>
      <c r="H292" s="68">
        <f>G292*F292</f>
        <v>6.48</v>
      </c>
      <c r="L292" s="38"/>
    </row>
    <row r="293" spans="2:12" ht="25.5" x14ac:dyDescent="0.25">
      <c r="B293" s="65" t="s">
        <v>49</v>
      </c>
      <c r="C293" s="59">
        <v>39456</v>
      </c>
      <c r="D293" s="158" t="s">
        <v>1217</v>
      </c>
      <c r="E293" s="65" t="s">
        <v>309</v>
      </c>
      <c r="F293" s="202">
        <v>1</v>
      </c>
      <c r="G293" s="62">
        <v>178.25</v>
      </c>
      <c r="H293" s="68">
        <f>G293*F293</f>
        <v>178.25</v>
      </c>
      <c r="L293" s="38"/>
    </row>
    <row r="294" spans="2:12" x14ac:dyDescent="0.25">
      <c r="B294" s="559" t="s">
        <v>1575</v>
      </c>
      <c r="C294" s="559"/>
      <c r="D294" s="559"/>
      <c r="E294" s="154"/>
      <c r="F294" s="154"/>
      <c r="G294" s="155" t="s">
        <v>5</v>
      </c>
      <c r="H294" s="235">
        <f>SUM(H290:H293)</f>
        <v>211.02</v>
      </c>
      <c r="L294" s="38"/>
    </row>
    <row r="295" spans="2:12" x14ac:dyDescent="0.25">
      <c r="B295" s="522"/>
      <c r="C295" s="522"/>
      <c r="D295" s="522"/>
      <c r="E295" s="522"/>
      <c r="F295" s="522"/>
      <c r="G295" s="522"/>
      <c r="H295" s="522"/>
      <c r="L295" s="38"/>
    </row>
    <row r="296" spans="2:12" ht="27" customHeight="1" x14ac:dyDescent="0.25">
      <c r="B296" s="523" t="s">
        <v>1218</v>
      </c>
      <c r="C296" s="540" t="s">
        <v>1219</v>
      </c>
      <c r="D296" s="523"/>
      <c r="E296" s="523"/>
      <c r="F296" s="523"/>
      <c r="G296" s="523"/>
      <c r="H296" s="96" t="s">
        <v>47</v>
      </c>
      <c r="L296" s="38"/>
    </row>
    <row r="297" spans="2:12" x14ac:dyDescent="0.25">
      <c r="B297" s="523"/>
      <c r="C297" s="56" t="s">
        <v>233</v>
      </c>
      <c r="D297" s="57" t="s">
        <v>234</v>
      </c>
      <c r="E297" s="57" t="s">
        <v>47</v>
      </c>
      <c r="F297" s="57" t="s">
        <v>37</v>
      </c>
      <c r="G297" s="58" t="s">
        <v>48</v>
      </c>
      <c r="H297" s="58" t="s">
        <v>235</v>
      </c>
      <c r="L297" s="38"/>
    </row>
    <row r="298" spans="2:12" x14ac:dyDescent="0.25">
      <c r="B298" s="65" t="s">
        <v>50</v>
      </c>
      <c r="C298" s="59">
        <v>88247</v>
      </c>
      <c r="D298" s="60" t="s">
        <v>465</v>
      </c>
      <c r="E298" s="59" t="s">
        <v>54</v>
      </c>
      <c r="F298" s="64" t="s">
        <v>1220</v>
      </c>
      <c r="G298" s="62">
        <f>G290</f>
        <v>18.809999999999999</v>
      </c>
      <c r="H298" s="68">
        <f>G298*F298</f>
        <v>24.89</v>
      </c>
      <c r="L298" s="38"/>
    </row>
    <row r="299" spans="2:12" x14ac:dyDescent="0.25">
      <c r="B299" s="65" t="s">
        <v>50</v>
      </c>
      <c r="C299" s="59">
        <v>88264</v>
      </c>
      <c r="D299" s="60" t="s">
        <v>466</v>
      </c>
      <c r="E299" s="59" t="s">
        <v>54</v>
      </c>
      <c r="F299" s="64" t="s">
        <v>1220</v>
      </c>
      <c r="G299" s="62">
        <f>G291</f>
        <v>22.67</v>
      </c>
      <c r="H299" s="68">
        <f>G299*F299</f>
        <v>30</v>
      </c>
      <c r="L299" s="38"/>
    </row>
    <row r="300" spans="2:12" ht="25.5" x14ac:dyDescent="0.25">
      <c r="B300" s="59" t="s">
        <v>49</v>
      </c>
      <c r="C300" s="59">
        <v>1579</v>
      </c>
      <c r="D300" s="60" t="s">
        <v>1221</v>
      </c>
      <c r="E300" s="59" t="s">
        <v>309</v>
      </c>
      <c r="F300" s="64">
        <v>3</v>
      </c>
      <c r="G300" s="62">
        <v>6.5</v>
      </c>
      <c r="H300" s="68">
        <f>G300*F300</f>
        <v>19.5</v>
      </c>
      <c r="L300" s="38"/>
    </row>
    <row r="301" spans="2:12" ht="25.5" x14ac:dyDescent="0.25">
      <c r="B301" s="65" t="s">
        <v>49</v>
      </c>
      <c r="C301" s="59">
        <v>2374</v>
      </c>
      <c r="D301" s="158" t="s">
        <v>1222</v>
      </c>
      <c r="E301" s="65" t="s">
        <v>309</v>
      </c>
      <c r="F301" s="202">
        <v>1</v>
      </c>
      <c r="G301" s="62">
        <v>441.25</v>
      </c>
      <c r="H301" s="68">
        <f>G301*F301</f>
        <v>441.25</v>
      </c>
      <c r="L301" s="38"/>
    </row>
    <row r="302" spans="2:12" x14ac:dyDescent="0.25">
      <c r="B302" s="559" t="s">
        <v>1577</v>
      </c>
      <c r="C302" s="559"/>
      <c r="D302" s="559"/>
      <c r="E302" s="154"/>
      <c r="F302" s="154"/>
      <c r="G302" s="155" t="s">
        <v>5</v>
      </c>
      <c r="H302" s="235">
        <f>SUM(H298:H301)</f>
        <v>515.64</v>
      </c>
      <c r="L302" s="38"/>
    </row>
    <row r="303" spans="2:12" x14ac:dyDescent="0.25">
      <c r="B303" s="522"/>
      <c r="C303" s="522"/>
      <c r="D303" s="522"/>
      <c r="E303" s="522"/>
      <c r="F303" s="522"/>
      <c r="G303" s="522"/>
      <c r="H303" s="522"/>
      <c r="L303" s="38"/>
    </row>
    <row r="304" spans="2:12" ht="27" customHeight="1" x14ac:dyDescent="0.25">
      <c r="B304" s="523" t="s">
        <v>1223</v>
      </c>
      <c r="C304" s="540" t="s">
        <v>1224</v>
      </c>
      <c r="D304" s="523"/>
      <c r="E304" s="523"/>
      <c r="F304" s="523"/>
      <c r="G304" s="523"/>
      <c r="H304" s="96" t="s">
        <v>47</v>
      </c>
      <c r="L304" s="38"/>
    </row>
    <row r="305" spans="2:12" x14ac:dyDescent="0.25">
      <c r="B305" s="523"/>
      <c r="C305" s="56" t="s">
        <v>233</v>
      </c>
      <c r="D305" s="57" t="s">
        <v>234</v>
      </c>
      <c r="E305" s="57" t="s">
        <v>47</v>
      </c>
      <c r="F305" s="57" t="s">
        <v>37</v>
      </c>
      <c r="G305" s="58" t="s">
        <v>48</v>
      </c>
      <c r="H305" s="58" t="s">
        <v>235</v>
      </c>
      <c r="L305" s="38"/>
    </row>
    <row r="306" spans="2:12" x14ac:dyDescent="0.25">
      <c r="B306" s="65" t="s">
        <v>50</v>
      </c>
      <c r="C306" s="59">
        <v>88247</v>
      </c>
      <c r="D306" s="60" t="s">
        <v>465</v>
      </c>
      <c r="E306" s="59" t="s">
        <v>54</v>
      </c>
      <c r="F306" s="64" t="s">
        <v>1220</v>
      </c>
      <c r="G306" s="62">
        <f>G298</f>
        <v>18.809999999999999</v>
      </c>
      <c r="H306" s="68">
        <f>G306*F306</f>
        <v>24.89</v>
      </c>
      <c r="L306" s="38"/>
    </row>
    <row r="307" spans="2:12" x14ac:dyDescent="0.25">
      <c r="B307" s="65" t="s">
        <v>50</v>
      </c>
      <c r="C307" s="59">
        <v>88264</v>
      </c>
      <c r="D307" s="60" t="s">
        <v>466</v>
      </c>
      <c r="E307" s="59" t="s">
        <v>54</v>
      </c>
      <c r="F307" s="64" t="s">
        <v>1220</v>
      </c>
      <c r="G307" s="62">
        <f>G299</f>
        <v>22.67</v>
      </c>
      <c r="H307" s="68">
        <f>G307*F307</f>
        <v>30</v>
      </c>
      <c r="L307" s="38"/>
    </row>
    <row r="308" spans="2:12" ht="25.5" x14ac:dyDescent="0.25">
      <c r="B308" s="59" t="s">
        <v>49</v>
      </c>
      <c r="C308" s="59">
        <v>1579</v>
      </c>
      <c r="D308" s="60" t="s">
        <v>1221</v>
      </c>
      <c r="E308" s="59" t="s">
        <v>309</v>
      </c>
      <c r="F308" s="64">
        <v>3</v>
      </c>
      <c r="G308" s="62">
        <f>G300</f>
        <v>6.5</v>
      </c>
      <c r="H308" s="68">
        <f>G308*F308</f>
        <v>19.5</v>
      </c>
      <c r="L308" s="38"/>
    </row>
    <row r="309" spans="2:12" x14ac:dyDescent="0.25">
      <c r="B309" s="65" t="s">
        <v>49</v>
      </c>
      <c r="C309" s="59" t="str">
        <f>COTAÇÕES!C24</f>
        <v>COT 006</v>
      </c>
      <c r="D309" s="158" t="s">
        <v>1225</v>
      </c>
      <c r="E309" s="65" t="s">
        <v>309</v>
      </c>
      <c r="F309" s="202">
        <v>1</v>
      </c>
      <c r="G309" s="62">
        <f>COTAÇÕES!J24</f>
        <v>231</v>
      </c>
      <c r="H309" s="68">
        <f>G309*F309</f>
        <v>231</v>
      </c>
      <c r="L309" s="38"/>
    </row>
    <row r="310" spans="2:12" x14ac:dyDescent="0.25">
      <c r="B310" s="559" t="s">
        <v>1577</v>
      </c>
      <c r="C310" s="559"/>
      <c r="D310" s="559"/>
      <c r="E310" s="154"/>
      <c r="F310" s="154"/>
      <c r="G310" s="155" t="s">
        <v>5</v>
      </c>
      <c r="H310" s="235">
        <f>SUM(H306:H309)</f>
        <v>305.39</v>
      </c>
      <c r="L310" s="38"/>
    </row>
    <row r="311" spans="2:12" x14ac:dyDescent="0.25">
      <c r="B311" s="522"/>
      <c r="C311" s="522"/>
      <c r="D311" s="522"/>
      <c r="E311" s="522"/>
      <c r="F311" s="522"/>
      <c r="G311" s="522"/>
      <c r="H311" s="522"/>
      <c r="L311" s="38"/>
    </row>
    <row r="312" spans="2:12" ht="27" customHeight="1" x14ac:dyDescent="0.25">
      <c r="B312" s="523" t="s">
        <v>1226</v>
      </c>
      <c r="C312" s="540" t="s">
        <v>1227</v>
      </c>
      <c r="D312" s="523"/>
      <c r="E312" s="523"/>
      <c r="F312" s="523"/>
      <c r="G312" s="523"/>
      <c r="H312" s="96" t="s">
        <v>47</v>
      </c>
      <c r="L312" s="38"/>
    </row>
    <row r="313" spans="2:12" x14ac:dyDescent="0.25">
      <c r="B313" s="523"/>
      <c r="C313" s="56" t="s">
        <v>233</v>
      </c>
      <c r="D313" s="57" t="s">
        <v>234</v>
      </c>
      <c r="E313" s="57" t="s">
        <v>47</v>
      </c>
      <c r="F313" s="57" t="s">
        <v>37</v>
      </c>
      <c r="G313" s="58" t="s">
        <v>48</v>
      </c>
      <c r="H313" s="58" t="s">
        <v>235</v>
      </c>
      <c r="L313" s="38"/>
    </row>
    <row r="314" spans="2:12" x14ac:dyDescent="0.25">
      <c r="B314" s="65" t="s">
        <v>50</v>
      </c>
      <c r="C314" s="59">
        <v>88247</v>
      </c>
      <c r="D314" s="60" t="s">
        <v>465</v>
      </c>
      <c r="E314" s="59" t="s">
        <v>54</v>
      </c>
      <c r="F314" s="64" t="s">
        <v>1200</v>
      </c>
      <c r="G314" s="62">
        <f>G306</f>
        <v>18.809999999999999</v>
      </c>
      <c r="H314" s="68">
        <f>G314*F314</f>
        <v>11.92</v>
      </c>
      <c r="L314" s="38"/>
    </row>
    <row r="315" spans="2:12" x14ac:dyDescent="0.25">
      <c r="B315" s="65" t="s">
        <v>50</v>
      </c>
      <c r="C315" s="59">
        <v>88264</v>
      </c>
      <c r="D315" s="60" t="s">
        <v>466</v>
      </c>
      <c r="E315" s="59" t="s">
        <v>54</v>
      </c>
      <c r="F315" s="64" t="s">
        <v>1200</v>
      </c>
      <c r="G315" s="62">
        <f>G307</f>
        <v>22.67</v>
      </c>
      <c r="H315" s="68">
        <f>G315*F315</f>
        <v>14.37</v>
      </c>
      <c r="L315" s="38"/>
    </row>
    <row r="316" spans="2:12" ht="38.25" x14ac:dyDescent="0.25">
      <c r="B316" s="59" t="s">
        <v>49</v>
      </c>
      <c r="C316" s="59">
        <v>1576</v>
      </c>
      <c r="D316" s="60" t="s">
        <v>1228</v>
      </c>
      <c r="E316" s="59" t="s">
        <v>309</v>
      </c>
      <c r="F316" s="64">
        <v>4</v>
      </c>
      <c r="G316" s="62">
        <v>2.67</v>
      </c>
      <c r="H316" s="68">
        <f>G316*F316</f>
        <v>10.68</v>
      </c>
      <c r="L316" s="38"/>
    </row>
    <row r="317" spans="2:12" x14ac:dyDescent="0.25">
      <c r="B317" s="65" t="s">
        <v>49</v>
      </c>
      <c r="C317" s="59" t="str">
        <f>COTAÇÕES!C27</f>
        <v>COT 007</v>
      </c>
      <c r="D317" s="158" t="s">
        <v>1229</v>
      </c>
      <c r="E317" s="65" t="s">
        <v>309</v>
      </c>
      <c r="F317" s="202">
        <v>1</v>
      </c>
      <c r="G317" s="62">
        <f>COTAÇÕES!J27</f>
        <v>227.56</v>
      </c>
      <c r="H317" s="68">
        <f>G317*F317</f>
        <v>227.56</v>
      </c>
      <c r="L317" s="38"/>
    </row>
    <row r="318" spans="2:12" x14ac:dyDescent="0.25">
      <c r="B318" s="559" t="s">
        <v>1575</v>
      </c>
      <c r="C318" s="559"/>
      <c r="D318" s="559"/>
      <c r="E318" s="154"/>
      <c r="F318" s="154"/>
      <c r="G318" s="155" t="s">
        <v>5</v>
      </c>
      <c r="H318" s="235">
        <f>SUM(H314:H317)</f>
        <v>264.52999999999997</v>
      </c>
      <c r="L318" s="38"/>
    </row>
    <row r="319" spans="2:12" x14ac:dyDescent="0.25">
      <c r="B319" s="522"/>
      <c r="C319" s="522"/>
      <c r="D319" s="522"/>
      <c r="E319" s="522"/>
      <c r="F319" s="522"/>
      <c r="G319" s="522"/>
      <c r="H319" s="522"/>
      <c r="L319" s="38"/>
    </row>
    <row r="320" spans="2:12" ht="27" customHeight="1" x14ac:dyDescent="0.25">
      <c r="B320" s="523" t="s">
        <v>1230</v>
      </c>
      <c r="C320" s="540" t="s">
        <v>1231</v>
      </c>
      <c r="D320" s="523"/>
      <c r="E320" s="523"/>
      <c r="F320" s="523"/>
      <c r="G320" s="523"/>
      <c r="H320" s="96" t="s">
        <v>47</v>
      </c>
      <c r="L320" s="38"/>
    </row>
    <row r="321" spans="2:12" x14ac:dyDescent="0.25">
      <c r="B321" s="523"/>
      <c r="C321" s="56" t="s">
        <v>233</v>
      </c>
      <c r="D321" s="57" t="s">
        <v>234</v>
      </c>
      <c r="E321" s="57" t="s">
        <v>47</v>
      </c>
      <c r="F321" s="57" t="s">
        <v>37</v>
      </c>
      <c r="G321" s="58" t="s">
        <v>48</v>
      </c>
      <c r="H321" s="58" t="s">
        <v>235</v>
      </c>
      <c r="L321" s="38"/>
    </row>
    <row r="322" spans="2:12" x14ac:dyDescent="0.25">
      <c r="B322" s="65" t="s">
        <v>50</v>
      </c>
      <c r="C322" s="59">
        <v>88247</v>
      </c>
      <c r="D322" s="60" t="s">
        <v>465</v>
      </c>
      <c r="E322" s="59" t="s">
        <v>54</v>
      </c>
      <c r="F322" s="64" t="s">
        <v>1200</v>
      </c>
      <c r="G322" s="62">
        <f>G314</f>
        <v>18.809999999999999</v>
      </c>
      <c r="H322" s="68">
        <f>G322*F322</f>
        <v>11.92</v>
      </c>
      <c r="L322" s="38"/>
    </row>
    <row r="323" spans="2:12" x14ac:dyDescent="0.25">
      <c r="B323" s="65" t="s">
        <v>50</v>
      </c>
      <c r="C323" s="59">
        <v>88264</v>
      </c>
      <c r="D323" s="60" t="s">
        <v>466</v>
      </c>
      <c r="E323" s="59" t="s">
        <v>54</v>
      </c>
      <c r="F323" s="64" t="s">
        <v>1200</v>
      </c>
      <c r="G323" s="62">
        <f>G315</f>
        <v>22.67</v>
      </c>
      <c r="H323" s="68">
        <f>G323*F323</f>
        <v>14.37</v>
      </c>
      <c r="L323" s="38"/>
    </row>
    <row r="324" spans="2:12" ht="25.5" x14ac:dyDescent="0.25">
      <c r="B324" s="59" t="s">
        <v>49</v>
      </c>
      <c r="C324" s="59">
        <v>1573</v>
      </c>
      <c r="D324" s="60" t="s">
        <v>1232</v>
      </c>
      <c r="E324" s="59" t="s">
        <v>309</v>
      </c>
      <c r="F324" s="64">
        <v>4</v>
      </c>
      <c r="G324" s="62">
        <v>1.5</v>
      </c>
      <c r="H324" s="68">
        <f>G324*F324</f>
        <v>6</v>
      </c>
      <c r="L324" s="38"/>
    </row>
    <row r="325" spans="2:12" ht="25.5" x14ac:dyDescent="0.25">
      <c r="B325" s="65" t="s">
        <v>49</v>
      </c>
      <c r="C325" s="59">
        <v>39457</v>
      </c>
      <c r="D325" s="158" t="s">
        <v>1233</v>
      </c>
      <c r="E325" s="65" t="s">
        <v>309</v>
      </c>
      <c r="F325" s="202">
        <v>1</v>
      </c>
      <c r="G325" s="62">
        <v>194.32</v>
      </c>
      <c r="H325" s="68">
        <f>G325*F325</f>
        <v>194.32</v>
      </c>
      <c r="L325" s="38"/>
    </row>
    <row r="326" spans="2:12" x14ac:dyDescent="0.25">
      <c r="B326" s="559" t="s">
        <v>1575</v>
      </c>
      <c r="C326" s="559"/>
      <c r="D326" s="559"/>
      <c r="E326" s="154"/>
      <c r="F326" s="154"/>
      <c r="G326" s="155" t="s">
        <v>5</v>
      </c>
      <c r="H326" s="235">
        <f>SUM(H322:H325)</f>
        <v>226.61</v>
      </c>
      <c r="L326" s="38"/>
    </row>
    <row r="327" spans="2:12" x14ac:dyDescent="0.25">
      <c r="B327" s="522"/>
      <c r="C327" s="522"/>
      <c r="D327" s="522"/>
      <c r="E327" s="522"/>
      <c r="F327" s="522"/>
      <c r="G327" s="522"/>
      <c r="H327" s="522"/>
      <c r="L327" s="38"/>
    </row>
    <row r="328" spans="2:12" ht="27" customHeight="1" x14ac:dyDescent="0.25">
      <c r="B328" s="523" t="s">
        <v>1234</v>
      </c>
      <c r="C328" s="540" t="s">
        <v>1204</v>
      </c>
      <c r="D328" s="523"/>
      <c r="E328" s="523"/>
      <c r="F328" s="523"/>
      <c r="G328" s="523"/>
      <c r="H328" s="96" t="s">
        <v>47</v>
      </c>
      <c r="L328" s="38"/>
    </row>
    <row r="329" spans="2:12" x14ac:dyDescent="0.25">
      <c r="B329" s="523"/>
      <c r="C329" s="56" t="s">
        <v>233</v>
      </c>
      <c r="D329" s="57" t="s">
        <v>234</v>
      </c>
      <c r="E329" s="57" t="s">
        <v>47</v>
      </c>
      <c r="F329" s="57" t="s">
        <v>37</v>
      </c>
      <c r="G329" s="58" t="s">
        <v>48</v>
      </c>
      <c r="H329" s="58" t="s">
        <v>235</v>
      </c>
      <c r="L329" s="38"/>
    </row>
    <row r="330" spans="2:12" x14ac:dyDescent="0.25">
      <c r="B330" s="65" t="s">
        <v>50</v>
      </c>
      <c r="C330" s="59">
        <v>88247</v>
      </c>
      <c r="D330" s="60" t="s">
        <v>465</v>
      </c>
      <c r="E330" s="59" t="s">
        <v>54</v>
      </c>
      <c r="F330" s="64" t="s">
        <v>1200</v>
      </c>
      <c r="G330" s="62">
        <f>G322</f>
        <v>18.809999999999999</v>
      </c>
      <c r="H330" s="68">
        <f>G330*F330</f>
        <v>11.92</v>
      </c>
      <c r="L330" s="38"/>
    </row>
    <row r="331" spans="2:12" x14ac:dyDescent="0.25">
      <c r="B331" s="65" t="s">
        <v>50</v>
      </c>
      <c r="C331" s="59">
        <v>88264</v>
      </c>
      <c r="D331" s="60" t="s">
        <v>466</v>
      </c>
      <c r="E331" s="59" t="s">
        <v>54</v>
      </c>
      <c r="F331" s="64" t="s">
        <v>1200</v>
      </c>
      <c r="G331" s="62">
        <f>G323</f>
        <v>22.67</v>
      </c>
      <c r="H331" s="68">
        <f>G331*F331</f>
        <v>14.37</v>
      </c>
      <c r="L331" s="38"/>
    </row>
    <row r="332" spans="2:12" ht="25.5" x14ac:dyDescent="0.25">
      <c r="B332" s="59" t="s">
        <v>49</v>
      </c>
      <c r="C332" s="59">
        <v>1573</v>
      </c>
      <c r="D332" s="60" t="s">
        <v>1232</v>
      </c>
      <c r="E332" s="59" t="s">
        <v>309</v>
      </c>
      <c r="F332" s="64">
        <v>2</v>
      </c>
      <c r="G332" s="62">
        <f>G324</f>
        <v>1.5</v>
      </c>
      <c r="H332" s="68">
        <f>G332*F332</f>
        <v>3</v>
      </c>
      <c r="L332" s="38"/>
    </row>
    <row r="333" spans="2:12" ht="25.5" x14ac:dyDescent="0.25">
      <c r="B333" s="65" t="s">
        <v>49</v>
      </c>
      <c r="C333" s="59">
        <v>39469</v>
      </c>
      <c r="D333" s="158" t="s">
        <v>1207</v>
      </c>
      <c r="E333" s="65" t="s">
        <v>309</v>
      </c>
      <c r="F333" s="202">
        <v>1</v>
      </c>
      <c r="G333" s="62">
        <v>79.16</v>
      </c>
      <c r="H333" s="68">
        <f>G333*F333</f>
        <v>79.16</v>
      </c>
      <c r="L333" s="38"/>
    </row>
    <row r="334" spans="2:12" x14ac:dyDescent="0.25">
      <c r="B334" s="559" t="s">
        <v>1575</v>
      </c>
      <c r="C334" s="559"/>
      <c r="D334" s="559"/>
      <c r="E334" s="154"/>
      <c r="F334" s="154"/>
      <c r="G334" s="155" t="s">
        <v>5</v>
      </c>
      <c r="H334" s="235">
        <f>SUM(H330:H333)</f>
        <v>108.45</v>
      </c>
      <c r="L334" s="38"/>
    </row>
    <row r="335" spans="2:12" x14ac:dyDescent="0.25">
      <c r="B335" s="522"/>
      <c r="C335" s="522"/>
      <c r="D335" s="522"/>
      <c r="E335" s="522"/>
      <c r="F335" s="522"/>
      <c r="G335" s="522"/>
      <c r="H335" s="522"/>
      <c r="L335" s="38"/>
    </row>
    <row r="336" spans="2:12" ht="27" customHeight="1" x14ac:dyDescent="0.25">
      <c r="B336" s="523" t="s">
        <v>1235</v>
      </c>
      <c r="C336" s="540" t="s">
        <v>1204</v>
      </c>
      <c r="D336" s="523"/>
      <c r="E336" s="523"/>
      <c r="F336" s="523"/>
      <c r="G336" s="523"/>
      <c r="H336" s="96" t="s">
        <v>47</v>
      </c>
      <c r="L336" s="38"/>
    </row>
    <row r="337" spans="2:12" x14ac:dyDescent="0.25">
      <c r="B337" s="523"/>
      <c r="C337" s="56" t="s">
        <v>233</v>
      </c>
      <c r="D337" s="57" t="s">
        <v>234</v>
      </c>
      <c r="E337" s="57" t="s">
        <v>47</v>
      </c>
      <c r="F337" s="57" t="s">
        <v>37</v>
      </c>
      <c r="G337" s="58" t="s">
        <v>48</v>
      </c>
      <c r="H337" s="58" t="s">
        <v>235</v>
      </c>
      <c r="L337" s="38"/>
    </row>
    <row r="338" spans="2:12" x14ac:dyDescent="0.25">
      <c r="B338" s="65" t="s">
        <v>50</v>
      </c>
      <c r="C338" s="59">
        <v>88247</v>
      </c>
      <c r="D338" s="60" t="s">
        <v>465</v>
      </c>
      <c r="E338" s="59" t="s">
        <v>54</v>
      </c>
      <c r="F338" s="64" t="s">
        <v>1200</v>
      </c>
      <c r="G338" s="62">
        <f>G330</f>
        <v>18.809999999999999</v>
      </c>
      <c r="H338" s="68">
        <f>G338*F338</f>
        <v>11.92</v>
      </c>
      <c r="L338" s="38"/>
    </row>
    <row r="339" spans="2:12" x14ac:dyDescent="0.25">
      <c r="B339" s="65" t="s">
        <v>50</v>
      </c>
      <c r="C339" s="59">
        <v>88264</v>
      </c>
      <c r="D339" s="60" t="s">
        <v>466</v>
      </c>
      <c r="E339" s="59" t="s">
        <v>54</v>
      </c>
      <c r="F339" s="64" t="s">
        <v>1200</v>
      </c>
      <c r="G339" s="62">
        <f>G331</f>
        <v>22.67</v>
      </c>
      <c r="H339" s="68">
        <f>G339*F339</f>
        <v>14.37</v>
      </c>
      <c r="L339" s="38"/>
    </row>
    <row r="340" spans="2:12" ht="25.5" x14ac:dyDescent="0.25">
      <c r="B340" s="59" t="s">
        <v>49</v>
      </c>
      <c r="C340" s="59">
        <v>1574</v>
      </c>
      <c r="D340" s="60" t="s">
        <v>1216</v>
      </c>
      <c r="E340" s="59" t="s">
        <v>309</v>
      </c>
      <c r="F340" s="64">
        <v>2</v>
      </c>
      <c r="G340" s="62">
        <v>1.62</v>
      </c>
      <c r="H340" s="68">
        <f>G340*F340</f>
        <v>3.24</v>
      </c>
      <c r="L340" s="38"/>
    </row>
    <row r="341" spans="2:12" ht="25.5" x14ac:dyDescent="0.25">
      <c r="B341" s="65" t="s">
        <v>49</v>
      </c>
      <c r="C341" s="59">
        <v>39469</v>
      </c>
      <c r="D341" s="158" t="s">
        <v>1207</v>
      </c>
      <c r="E341" s="65" t="s">
        <v>309</v>
      </c>
      <c r="F341" s="202">
        <v>1</v>
      </c>
      <c r="G341" s="62">
        <f>G333</f>
        <v>79.16</v>
      </c>
      <c r="H341" s="68">
        <f>G341*F341</f>
        <v>79.16</v>
      </c>
      <c r="L341" s="38"/>
    </row>
    <row r="342" spans="2:12" x14ac:dyDescent="0.25">
      <c r="B342" s="559" t="s">
        <v>1575</v>
      </c>
      <c r="C342" s="559"/>
      <c r="D342" s="559"/>
      <c r="E342" s="154"/>
      <c r="F342" s="154"/>
      <c r="G342" s="155" t="s">
        <v>5</v>
      </c>
      <c r="H342" s="235">
        <f>SUM(H338:H341)</f>
        <v>108.69</v>
      </c>
      <c r="L342" s="38"/>
    </row>
    <row r="343" spans="2:12" x14ac:dyDescent="0.25">
      <c r="B343" s="522"/>
      <c r="C343" s="522"/>
      <c r="D343" s="522"/>
      <c r="E343" s="522"/>
      <c r="F343" s="522"/>
      <c r="G343" s="522"/>
      <c r="H343" s="522"/>
      <c r="L343" s="38"/>
    </row>
    <row r="344" spans="2:12" ht="27" customHeight="1" x14ac:dyDescent="0.25">
      <c r="B344" s="523" t="s">
        <v>1236</v>
      </c>
      <c r="C344" s="540" t="s">
        <v>1750</v>
      </c>
      <c r="D344" s="523"/>
      <c r="E344" s="523"/>
      <c r="F344" s="523"/>
      <c r="G344" s="523"/>
      <c r="H344" s="96" t="s">
        <v>47</v>
      </c>
      <c r="L344" s="38"/>
    </row>
    <row r="345" spans="2:12" x14ac:dyDescent="0.25">
      <c r="B345" s="523"/>
      <c r="C345" s="56" t="s">
        <v>233</v>
      </c>
      <c r="D345" s="57" t="s">
        <v>234</v>
      </c>
      <c r="E345" s="57" t="s">
        <v>47</v>
      </c>
      <c r="F345" s="57" t="s">
        <v>37</v>
      </c>
      <c r="G345" s="58" t="s">
        <v>48</v>
      </c>
      <c r="H345" s="58" t="s">
        <v>235</v>
      </c>
      <c r="L345" s="38"/>
    </row>
    <row r="346" spans="2:12" x14ac:dyDescent="0.25">
      <c r="B346" s="65" t="s">
        <v>50</v>
      </c>
      <c r="C346" s="59">
        <v>88247</v>
      </c>
      <c r="D346" s="60" t="s">
        <v>465</v>
      </c>
      <c r="E346" s="59" t="s">
        <v>54</v>
      </c>
      <c r="F346" s="227">
        <v>3</v>
      </c>
      <c r="G346" s="62">
        <f>G338</f>
        <v>18.809999999999999</v>
      </c>
      <c r="H346" s="68">
        <f>G346*F346</f>
        <v>56.43</v>
      </c>
      <c r="L346" s="38"/>
    </row>
    <row r="347" spans="2:12" x14ac:dyDescent="0.25">
      <c r="B347" s="65" t="s">
        <v>50</v>
      </c>
      <c r="C347" s="59">
        <v>88264</v>
      </c>
      <c r="D347" s="60" t="s">
        <v>466</v>
      </c>
      <c r="E347" s="59" t="s">
        <v>54</v>
      </c>
      <c r="F347" s="227">
        <v>3</v>
      </c>
      <c r="G347" s="62">
        <f>G339</f>
        <v>22.67</v>
      </c>
      <c r="H347" s="68">
        <f>G347*F347</f>
        <v>68.010000000000005</v>
      </c>
      <c r="L347" s="38"/>
    </row>
    <row r="348" spans="2:12" ht="25.5" x14ac:dyDescent="0.25">
      <c r="B348" s="59" t="s">
        <v>49</v>
      </c>
      <c r="C348" s="59">
        <v>39609</v>
      </c>
      <c r="D348" s="60" t="s">
        <v>1237</v>
      </c>
      <c r="E348" s="65" t="s">
        <v>309</v>
      </c>
      <c r="F348" s="202">
        <v>1</v>
      </c>
      <c r="G348" s="62">
        <v>70502.3</v>
      </c>
      <c r="H348" s="68">
        <f>G348*F348</f>
        <v>70502.3</v>
      </c>
      <c r="L348" s="38"/>
    </row>
    <row r="349" spans="2:12" x14ac:dyDescent="0.25">
      <c r="B349" s="559" t="s">
        <v>1522</v>
      </c>
      <c r="C349" s="559"/>
      <c r="D349" s="559"/>
      <c r="E349" s="154"/>
      <c r="F349" s="154"/>
      <c r="G349" s="155" t="s">
        <v>5</v>
      </c>
      <c r="H349" s="235">
        <f>SUM(H346:H348)</f>
        <v>70626.740000000005</v>
      </c>
      <c r="L349" s="38"/>
    </row>
    <row r="350" spans="2:12" x14ac:dyDescent="0.25">
      <c r="B350" s="522"/>
      <c r="C350" s="522"/>
      <c r="D350" s="522"/>
      <c r="E350" s="522"/>
      <c r="F350" s="522"/>
      <c r="G350" s="522"/>
      <c r="H350" s="522"/>
      <c r="L350" s="38"/>
    </row>
    <row r="351" spans="2:12" ht="55.15" customHeight="1" x14ac:dyDescent="0.25">
      <c r="B351" s="560" t="s">
        <v>1238</v>
      </c>
      <c r="C351" s="540" t="s">
        <v>1239</v>
      </c>
      <c r="D351" s="523"/>
      <c r="E351" s="523"/>
      <c r="F351" s="523"/>
      <c r="G351" s="523"/>
      <c r="H351" s="264" t="s">
        <v>47</v>
      </c>
      <c r="L351" s="38"/>
    </row>
    <row r="352" spans="2:12" ht="26.45" customHeight="1" x14ac:dyDescent="0.25">
      <c r="B352" s="560"/>
      <c r="C352" s="265" t="s">
        <v>233</v>
      </c>
      <c r="D352" s="266" t="s">
        <v>234</v>
      </c>
      <c r="E352" s="266" t="s">
        <v>47</v>
      </c>
      <c r="F352" s="266" t="s">
        <v>37</v>
      </c>
      <c r="G352" s="267" t="s">
        <v>48</v>
      </c>
      <c r="H352" s="267" t="s">
        <v>235</v>
      </c>
      <c r="L352" s="38"/>
    </row>
    <row r="353" spans="2:12" x14ac:dyDescent="0.25">
      <c r="B353" s="65" t="s">
        <v>50</v>
      </c>
      <c r="C353" s="59">
        <v>88247</v>
      </c>
      <c r="D353" s="60" t="s">
        <v>465</v>
      </c>
      <c r="E353" s="59" t="s">
        <v>54</v>
      </c>
      <c r="F353" s="64" t="s">
        <v>1240</v>
      </c>
      <c r="G353" s="87">
        <f>G346</f>
        <v>18.809999999999999</v>
      </c>
      <c r="H353" s="268">
        <f>G353*F353</f>
        <v>6.5</v>
      </c>
      <c r="L353" s="38"/>
    </row>
    <row r="354" spans="2:12" x14ac:dyDescent="0.25">
      <c r="B354" s="65" t="s">
        <v>50</v>
      </c>
      <c r="C354" s="59">
        <v>88264</v>
      </c>
      <c r="D354" s="60" t="s">
        <v>466</v>
      </c>
      <c r="E354" s="59" t="s">
        <v>54</v>
      </c>
      <c r="F354" s="64" t="s">
        <v>1241</v>
      </c>
      <c r="G354" s="87">
        <f>G347</f>
        <v>22.67</v>
      </c>
      <c r="H354" s="268">
        <f>G354*F354</f>
        <v>18.79</v>
      </c>
      <c r="L354" s="38"/>
    </row>
    <row r="355" spans="2:12" ht="76.5" x14ac:dyDescent="0.25">
      <c r="B355" s="59" t="s">
        <v>49</v>
      </c>
      <c r="C355" s="59" t="str">
        <f>COTAÇÕES!C30</f>
        <v>COT 008</v>
      </c>
      <c r="D355" s="60" t="s">
        <v>1242</v>
      </c>
      <c r="E355" s="65" t="s">
        <v>309</v>
      </c>
      <c r="F355" s="202">
        <v>1</v>
      </c>
      <c r="G355" s="87">
        <f>COTAÇÕES!J30</f>
        <v>462</v>
      </c>
      <c r="H355" s="268">
        <f>G355*F355</f>
        <v>462</v>
      </c>
      <c r="L355" s="38"/>
    </row>
    <row r="356" spans="2:12" ht="13.15" customHeight="1" x14ac:dyDescent="0.25">
      <c r="B356" s="559" t="s">
        <v>1578</v>
      </c>
      <c r="C356" s="559"/>
      <c r="D356" s="559"/>
      <c r="E356" s="154"/>
      <c r="F356" s="154"/>
      <c r="G356" s="155" t="s">
        <v>5</v>
      </c>
      <c r="H356" s="269">
        <f>SUM(H353:H355)</f>
        <v>487.29</v>
      </c>
      <c r="L356" s="38"/>
    </row>
    <row r="357" spans="2:12" ht="13.15" customHeight="1" x14ac:dyDescent="0.25">
      <c r="B357" s="522"/>
      <c r="C357" s="522"/>
      <c r="D357" s="522"/>
      <c r="E357" s="522"/>
      <c r="F357" s="522"/>
      <c r="G357" s="522"/>
      <c r="H357" s="522"/>
      <c r="L357" s="38"/>
    </row>
    <row r="358" spans="2:12" ht="55.15" customHeight="1" x14ac:dyDescent="0.25">
      <c r="B358" s="560" t="s">
        <v>1243</v>
      </c>
      <c r="C358" s="540" t="s">
        <v>1244</v>
      </c>
      <c r="D358" s="523"/>
      <c r="E358" s="523"/>
      <c r="F358" s="523"/>
      <c r="G358" s="523"/>
      <c r="H358" s="264" t="s">
        <v>47</v>
      </c>
      <c r="L358" s="38"/>
    </row>
    <row r="359" spans="2:12" ht="13.15" customHeight="1" x14ac:dyDescent="0.25">
      <c r="B359" s="560"/>
      <c r="C359" s="265" t="s">
        <v>233</v>
      </c>
      <c r="D359" s="266" t="s">
        <v>234</v>
      </c>
      <c r="E359" s="266" t="s">
        <v>47</v>
      </c>
      <c r="F359" s="266" t="s">
        <v>37</v>
      </c>
      <c r="G359" s="267" t="s">
        <v>48</v>
      </c>
      <c r="H359" s="267" t="s">
        <v>235</v>
      </c>
      <c r="L359" s="38"/>
    </row>
    <row r="360" spans="2:12" x14ac:dyDescent="0.25">
      <c r="B360" s="65" t="s">
        <v>50</v>
      </c>
      <c r="C360" s="59">
        <v>88247</v>
      </c>
      <c r="D360" s="60" t="s">
        <v>465</v>
      </c>
      <c r="E360" s="59" t="s">
        <v>54</v>
      </c>
      <c r="F360" s="64" t="s">
        <v>1240</v>
      </c>
      <c r="G360" s="87">
        <f>G353</f>
        <v>18.809999999999999</v>
      </c>
      <c r="H360" s="268">
        <f>G360*F360</f>
        <v>6.5</v>
      </c>
      <c r="L360" s="38"/>
    </row>
    <row r="361" spans="2:12" x14ac:dyDescent="0.25">
      <c r="B361" s="65" t="s">
        <v>50</v>
      </c>
      <c r="C361" s="59">
        <v>88264</v>
      </c>
      <c r="D361" s="60" t="s">
        <v>466</v>
      </c>
      <c r="E361" s="59" t="s">
        <v>54</v>
      </c>
      <c r="F361" s="64" t="s">
        <v>1241</v>
      </c>
      <c r="G361" s="87">
        <f>G354</f>
        <v>22.67</v>
      </c>
      <c r="H361" s="268">
        <f>G361*F361</f>
        <v>18.79</v>
      </c>
      <c r="L361" s="38"/>
    </row>
    <row r="362" spans="2:12" ht="76.5" x14ac:dyDescent="0.25">
      <c r="B362" s="59" t="s">
        <v>49</v>
      </c>
      <c r="C362" s="59" t="str">
        <f>COTAÇÕES!C33</f>
        <v>COT 009</v>
      </c>
      <c r="D362" s="60" t="s">
        <v>1245</v>
      </c>
      <c r="E362" s="65" t="s">
        <v>309</v>
      </c>
      <c r="F362" s="202">
        <v>1</v>
      </c>
      <c r="G362" s="87">
        <f>COTAÇÕES!J33</f>
        <v>439.95</v>
      </c>
      <c r="H362" s="268">
        <f>G362*F362</f>
        <v>439.95</v>
      </c>
      <c r="L362" s="38"/>
    </row>
    <row r="363" spans="2:12" ht="13.15" customHeight="1" x14ac:dyDescent="0.25">
      <c r="B363" s="559" t="s">
        <v>1578</v>
      </c>
      <c r="C363" s="559"/>
      <c r="D363" s="559"/>
      <c r="E363" s="154"/>
      <c r="F363" s="154"/>
      <c r="G363" s="155" t="s">
        <v>5</v>
      </c>
      <c r="H363" s="269">
        <f>SUM(H360:H362)</f>
        <v>465.24</v>
      </c>
      <c r="L363" s="38"/>
    </row>
    <row r="364" spans="2:12" x14ac:dyDescent="0.25">
      <c r="B364" s="522"/>
      <c r="C364" s="522"/>
      <c r="D364" s="522"/>
      <c r="E364" s="522"/>
      <c r="F364" s="522"/>
      <c r="G364" s="522"/>
      <c r="H364" s="522"/>
      <c r="L364" s="38"/>
    </row>
    <row r="365" spans="2:12" ht="55.15" customHeight="1" x14ac:dyDescent="0.25">
      <c r="B365" s="560" t="s">
        <v>1427</v>
      </c>
      <c r="C365" s="540" t="s">
        <v>1539</v>
      </c>
      <c r="D365" s="523"/>
      <c r="E365" s="523"/>
      <c r="F365" s="523"/>
      <c r="G365" s="523"/>
      <c r="H365" s="264" t="s">
        <v>47</v>
      </c>
      <c r="L365" s="38"/>
    </row>
    <row r="366" spans="2:12" x14ac:dyDescent="0.25">
      <c r="B366" s="560"/>
      <c r="C366" s="265" t="s">
        <v>233</v>
      </c>
      <c r="D366" s="266" t="s">
        <v>234</v>
      </c>
      <c r="E366" s="266" t="s">
        <v>47</v>
      </c>
      <c r="F366" s="266" t="s">
        <v>37</v>
      </c>
      <c r="G366" s="267" t="s">
        <v>48</v>
      </c>
      <c r="H366" s="267" t="s">
        <v>235</v>
      </c>
      <c r="L366" s="38"/>
    </row>
    <row r="367" spans="2:12" ht="13.15" customHeight="1" x14ac:dyDescent="0.25">
      <c r="B367" s="65" t="s">
        <v>50</v>
      </c>
      <c r="C367" s="59">
        <v>88247</v>
      </c>
      <c r="D367" s="60" t="s">
        <v>465</v>
      </c>
      <c r="E367" s="59" t="s">
        <v>54</v>
      </c>
      <c r="F367" s="64" t="s">
        <v>1240</v>
      </c>
      <c r="G367" s="87">
        <f>G360</f>
        <v>18.809999999999999</v>
      </c>
      <c r="H367" s="268">
        <f>G367*F367</f>
        <v>6.5</v>
      </c>
      <c r="L367" s="38"/>
    </row>
    <row r="368" spans="2:12" x14ac:dyDescent="0.25">
      <c r="B368" s="65" t="s">
        <v>50</v>
      </c>
      <c r="C368" s="59">
        <v>88264</v>
      </c>
      <c r="D368" s="60" t="s">
        <v>466</v>
      </c>
      <c r="E368" s="59" t="s">
        <v>54</v>
      </c>
      <c r="F368" s="64" t="s">
        <v>1241</v>
      </c>
      <c r="G368" s="87">
        <f>G361</f>
        <v>22.67</v>
      </c>
      <c r="H368" s="268">
        <f>G368*F368</f>
        <v>18.79</v>
      </c>
      <c r="L368" s="38"/>
    </row>
    <row r="369" spans="2:12" ht="63.75" x14ac:dyDescent="0.25">
      <c r="B369" s="59" t="s">
        <v>49</v>
      </c>
      <c r="C369" s="59" t="str">
        <f>COTAÇÕES!C36</f>
        <v>COT 010</v>
      </c>
      <c r="D369" s="60" t="s">
        <v>1473</v>
      </c>
      <c r="E369" s="65" t="s">
        <v>309</v>
      </c>
      <c r="F369" s="202">
        <v>1</v>
      </c>
      <c r="G369" s="87">
        <f>COTAÇÕES!J36</f>
        <v>151.97</v>
      </c>
      <c r="H369" s="268">
        <f>G369*F369</f>
        <v>151.97</v>
      </c>
      <c r="L369" s="38"/>
    </row>
    <row r="370" spans="2:12" ht="13.15" customHeight="1" x14ac:dyDescent="0.25">
      <c r="B370" s="559" t="s">
        <v>1578</v>
      </c>
      <c r="C370" s="559"/>
      <c r="D370" s="559"/>
      <c r="E370" s="154"/>
      <c r="F370" s="154"/>
      <c r="G370" s="155" t="s">
        <v>5</v>
      </c>
      <c r="H370" s="269">
        <f>SUM(H367:H369)</f>
        <v>177.26</v>
      </c>
      <c r="L370" s="38"/>
    </row>
    <row r="371" spans="2:12" x14ac:dyDescent="0.25">
      <c r="B371" s="357"/>
      <c r="C371" s="38"/>
      <c r="D371" s="38"/>
      <c r="E371" s="38"/>
      <c r="F371" s="38"/>
      <c r="G371" s="38"/>
      <c r="H371" s="358"/>
      <c r="L371" s="38"/>
    </row>
    <row r="372" spans="2:12" ht="27" customHeight="1" x14ac:dyDescent="0.25">
      <c r="B372" s="560" t="s">
        <v>1474</v>
      </c>
      <c r="C372" s="540" t="s">
        <v>1475</v>
      </c>
      <c r="D372" s="523"/>
      <c r="E372" s="523"/>
      <c r="F372" s="523"/>
      <c r="G372" s="523"/>
      <c r="H372" s="264" t="s">
        <v>1134</v>
      </c>
      <c r="L372" s="38"/>
    </row>
    <row r="373" spans="2:12" x14ac:dyDescent="0.25">
      <c r="B373" s="560"/>
      <c r="C373" s="265" t="s">
        <v>233</v>
      </c>
      <c r="D373" s="266" t="s">
        <v>234</v>
      </c>
      <c r="E373" s="266" t="s">
        <v>47</v>
      </c>
      <c r="F373" s="266" t="s">
        <v>37</v>
      </c>
      <c r="G373" s="267" t="s">
        <v>48</v>
      </c>
      <c r="H373" s="267" t="s">
        <v>235</v>
      </c>
    </row>
    <row r="374" spans="2:12" x14ac:dyDescent="0.25">
      <c r="B374" s="59" t="s">
        <v>50</v>
      </c>
      <c r="C374" s="59">
        <v>88264</v>
      </c>
      <c r="D374" s="60" t="s">
        <v>466</v>
      </c>
      <c r="E374" s="59" t="s">
        <v>54</v>
      </c>
      <c r="F374" s="202">
        <v>0.183</v>
      </c>
      <c r="G374" s="87">
        <v>22.67</v>
      </c>
      <c r="H374" s="268">
        <f t="shared" ref="H374:H380" si="5">G374*F374</f>
        <v>4.1500000000000004</v>
      </c>
    </row>
    <row r="375" spans="2:12" x14ac:dyDescent="0.25">
      <c r="B375" s="59" t="s">
        <v>50</v>
      </c>
      <c r="C375" s="59">
        <v>88247</v>
      </c>
      <c r="D375" s="60" t="s">
        <v>465</v>
      </c>
      <c r="E375" s="59" t="s">
        <v>54</v>
      </c>
      <c r="F375" s="202">
        <v>0.183</v>
      </c>
      <c r="G375" s="87">
        <v>18.809999999999999</v>
      </c>
      <c r="H375" s="268">
        <f t="shared" si="5"/>
        <v>3.44</v>
      </c>
    </row>
    <row r="376" spans="2:12" ht="25.5" x14ac:dyDescent="0.25">
      <c r="B376" s="59" t="s">
        <v>49</v>
      </c>
      <c r="C376" s="59">
        <v>39211</v>
      </c>
      <c r="D376" s="60" t="s">
        <v>1032</v>
      </c>
      <c r="E376" s="59" t="s">
        <v>309</v>
      </c>
      <c r="F376" s="202">
        <v>16.8</v>
      </c>
      <c r="G376" s="87">
        <f>G112</f>
        <v>1.67</v>
      </c>
      <c r="H376" s="268">
        <f t="shared" si="5"/>
        <v>28.06</v>
      </c>
    </row>
    <row r="377" spans="2:12" x14ac:dyDescent="0.25">
      <c r="B377" s="59" t="s">
        <v>49</v>
      </c>
      <c r="C377" s="59">
        <v>39997</v>
      </c>
      <c r="D377" s="60" t="s">
        <v>1033</v>
      </c>
      <c r="E377" s="59" t="s">
        <v>309</v>
      </c>
      <c r="F377" s="202">
        <v>16.8</v>
      </c>
      <c r="G377" s="87">
        <f>G113</f>
        <v>0.32</v>
      </c>
      <c r="H377" s="268">
        <f t="shared" si="5"/>
        <v>5.38</v>
      </c>
    </row>
    <row r="378" spans="2:12" ht="25.5" x14ac:dyDescent="0.25">
      <c r="B378" s="59" t="s">
        <v>49</v>
      </c>
      <c r="C378" s="59" t="str">
        <f>COTAÇÕES!C45</f>
        <v>COT 013</v>
      </c>
      <c r="D378" s="60" t="s">
        <v>1476</v>
      </c>
      <c r="E378" s="59" t="s">
        <v>309</v>
      </c>
      <c r="F378" s="202">
        <v>1</v>
      </c>
      <c r="G378" s="87">
        <f>COTAÇÕES!J45</f>
        <v>4.8</v>
      </c>
      <c r="H378" s="268">
        <f t="shared" si="5"/>
        <v>4.8</v>
      </c>
    </row>
    <row r="379" spans="2:12" ht="25.5" x14ac:dyDescent="0.25">
      <c r="B379" s="59" t="s">
        <v>49</v>
      </c>
      <c r="C379" s="59" t="str">
        <f>COTAÇÕES!C51</f>
        <v>COT 015</v>
      </c>
      <c r="D379" s="60" t="s">
        <v>1027</v>
      </c>
      <c r="E379" s="59" t="s">
        <v>309</v>
      </c>
      <c r="F379" s="202">
        <v>4</v>
      </c>
      <c r="G379" s="87">
        <f>COTAÇÕES!J51</f>
        <v>1.6</v>
      </c>
      <c r="H379" s="268">
        <f t="shared" si="5"/>
        <v>6.4</v>
      </c>
    </row>
    <row r="380" spans="2:12" ht="25.5" x14ac:dyDescent="0.25">
      <c r="B380" s="59" t="s">
        <v>49</v>
      </c>
      <c r="C380" s="59">
        <v>11962</v>
      </c>
      <c r="D380" s="60" t="s">
        <v>1477</v>
      </c>
      <c r="E380" s="59" t="s">
        <v>309</v>
      </c>
      <c r="F380" s="202">
        <v>16.8</v>
      </c>
      <c r="G380" s="87">
        <f>G116</f>
        <v>0.24</v>
      </c>
      <c r="H380" s="268">
        <f t="shared" si="5"/>
        <v>4.03</v>
      </c>
    </row>
    <row r="381" spans="2:12" x14ac:dyDescent="0.25">
      <c r="B381" s="562" t="s">
        <v>1599</v>
      </c>
      <c r="C381" s="563"/>
      <c r="D381" s="564"/>
      <c r="E381" s="154"/>
      <c r="F381" s="154"/>
      <c r="G381" s="155" t="s">
        <v>5</v>
      </c>
      <c r="H381" s="269">
        <f>SUM(H374:H380)</f>
        <v>56.26</v>
      </c>
    </row>
    <row r="382" spans="2:12" x14ac:dyDescent="0.25">
      <c r="B382" s="522"/>
      <c r="C382" s="522"/>
      <c r="D382" s="522"/>
      <c r="E382" s="522"/>
      <c r="F382" s="522"/>
      <c r="G382" s="522"/>
      <c r="H382" s="522"/>
    </row>
    <row r="383" spans="2:12" ht="27" customHeight="1" x14ac:dyDescent="0.25">
      <c r="B383" s="560" t="s">
        <v>1478</v>
      </c>
      <c r="C383" s="540" t="s">
        <v>1479</v>
      </c>
      <c r="D383" s="523"/>
      <c r="E383" s="523"/>
      <c r="F383" s="523"/>
      <c r="G383" s="523"/>
      <c r="H383" s="264" t="s">
        <v>248</v>
      </c>
    </row>
    <row r="384" spans="2:12" x14ac:dyDescent="0.25">
      <c r="B384" s="560"/>
      <c r="C384" s="265" t="s">
        <v>233</v>
      </c>
      <c r="D384" s="266" t="s">
        <v>234</v>
      </c>
      <c r="E384" s="266" t="s">
        <v>47</v>
      </c>
      <c r="F384" s="266" t="s">
        <v>37</v>
      </c>
      <c r="G384" s="267" t="s">
        <v>48</v>
      </c>
      <c r="H384" s="267" t="s">
        <v>235</v>
      </c>
    </row>
    <row r="385" spans="2:8" x14ac:dyDescent="0.25">
      <c r="B385" s="59" t="s">
        <v>50</v>
      </c>
      <c r="C385" s="59">
        <v>88247</v>
      </c>
      <c r="D385" s="60" t="s">
        <v>465</v>
      </c>
      <c r="E385" s="59" t="s">
        <v>54</v>
      </c>
      <c r="F385" s="202">
        <v>9.0999999999999998E-2</v>
      </c>
      <c r="G385" s="87">
        <f>G375</f>
        <v>18.809999999999999</v>
      </c>
      <c r="H385" s="268">
        <f>G385*F385</f>
        <v>1.71</v>
      </c>
    </row>
    <row r="386" spans="2:8" x14ac:dyDescent="0.25">
      <c r="B386" s="59" t="s">
        <v>50</v>
      </c>
      <c r="C386" s="59">
        <v>88264</v>
      </c>
      <c r="D386" s="60" t="s">
        <v>466</v>
      </c>
      <c r="E386" s="59" t="s">
        <v>54</v>
      </c>
      <c r="F386" s="202">
        <v>9.0999999999999998E-2</v>
      </c>
      <c r="G386" s="87">
        <f>G374</f>
        <v>22.67</v>
      </c>
      <c r="H386" s="268">
        <f>G386*F386</f>
        <v>2.06</v>
      </c>
    </row>
    <row r="387" spans="2:8" ht="51" x14ac:dyDescent="0.25">
      <c r="B387" s="59" t="s">
        <v>50</v>
      </c>
      <c r="C387" s="59">
        <v>91170</v>
      </c>
      <c r="D387" s="60" t="s">
        <v>1023</v>
      </c>
      <c r="E387" s="59" t="s">
        <v>248</v>
      </c>
      <c r="F387" s="202">
        <v>1</v>
      </c>
      <c r="G387" s="268">
        <v>3.08</v>
      </c>
      <c r="H387" s="268">
        <f>G387*F387</f>
        <v>3.08</v>
      </c>
    </row>
    <row r="388" spans="2:8" ht="38.25" x14ac:dyDescent="0.25">
      <c r="B388" s="59" t="s">
        <v>49</v>
      </c>
      <c r="C388" s="59" t="str">
        <f>COTAÇÕES!C54</f>
        <v>COT 016</v>
      </c>
      <c r="D388" s="60" t="s">
        <v>1480</v>
      </c>
      <c r="E388" s="59" t="s">
        <v>248</v>
      </c>
      <c r="F388" s="202">
        <v>0.98199999999999998</v>
      </c>
      <c r="G388" s="268">
        <f>COTAÇÕES!J54</f>
        <v>38.28</v>
      </c>
      <c r="H388" s="268">
        <f>G388*F388</f>
        <v>37.590000000000003</v>
      </c>
    </row>
    <row r="389" spans="2:8" ht="38.25" x14ac:dyDescent="0.25">
      <c r="B389" s="59" t="s">
        <v>50</v>
      </c>
      <c r="C389" s="59" t="str">
        <f>B372</f>
        <v>PMA ELE 047</v>
      </c>
      <c r="D389" s="60" t="s">
        <v>1481</v>
      </c>
      <c r="E389" s="59" t="s">
        <v>309</v>
      </c>
      <c r="F389" s="202">
        <v>0.33300000000000002</v>
      </c>
      <c r="G389" s="268">
        <f>H381</f>
        <v>56.26</v>
      </c>
      <c r="H389" s="268">
        <f>G389*F389</f>
        <v>18.73</v>
      </c>
    </row>
    <row r="390" spans="2:8" x14ac:dyDescent="0.25">
      <c r="B390" s="559" t="s">
        <v>1141</v>
      </c>
      <c r="C390" s="559"/>
      <c r="D390" s="559"/>
      <c r="E390" s="154"/>
      <c r="F390" s="154"/>
      <c r="G390" s="155" t="s">
        <v>5</v>
      </c>
      <c r="H390" s="269">
        <f>SUM(H385:H389)</f>
        <v>63.17</v>
      </c>
    </row>
    <row r="391" spans="2:8" x14ac:dyDescent="0.25">
      <c r="B391" s="522"/>
      <c r="C391" s="522"/>
      <c r="D391" s="522"/>
      <c r="E391" s="522"/>
      <c r="F391" s="522"/>
      <c r="G391" s="522"/>
      <c r="H391" s="522"/>
    </row>
    <row r="392" spans="2:8" ht="27" customHeight="1" x14ac:dyDescent="0.25">
      <c r="B392" s="560" t="s">
        <v>1482</v>
      </c>
      <c r="C392" s="540" t="s">
        <v>1752</v>
      </c>
      <c r="D392" s="523"/>
      <c r="E392" s="523"/>
      <c r="F392" s="523"/>
      <c r="G392" s="523"/>
      <c r="H392" s="264" t="s">
        <v>309</v>
      </c>
    </row>
    <row r="393" spans="2:8" x14ac:dyDescent="0.25">
      <c r="B393" s="560"/>
      <c r="C393" s="265" t="s">
        <v>233</v>
      </c>
      <c r="D393" s="266" t="s">
        <v>234</v>
      </c>
      <c r="E393" s="266" t="s">
        <v>47</v>
      </c>
      <c r="F393" s="266" t="s">
        <v>37</v>
      </c>
      <c r="G393" s="267" t="s">
        <v>48</v>
      </c>
      <c r="H393" s="267" t="s">
        <v>235</v>
      </c>
    </row>
    <row r="394" spans="2:8" ht="25.5" x14ac:dyDescent="0.25">
      <c r="B394" s="59" t="s">
        <v>50</v>
      </c>
      <c r="C394" s="85">
        <v>93358</v>
      </c>
      <c r="D394" s="20" t="s">
        <v>1483</v>
      </c>
      <c r="E394" s="48" t="s">
        <v>1484</v>
      </c>
      <c r="F394" s="270">
        <f>TRUNC(0.5*2*0.7,2)</f>
        <v>0.7</v>
      </c>
      <c r="G394" s="87">
        <v>68.91</v>
      </c>
      <c r="H394" s="268">
        <f t="shared" ref="H394:H405" si="6">G394*F394</f>
        <v>48.24</v>
      </c>
    </row>
    <row r="395" spans="2:8" ht="25.5" x14ac:dyDescent="0.25">
      <c r="B395" s="59" t="s">
        <v>50</v>
      </c>
      <c r="C395" s="271">
        <v>101616</v>
      </c>
      <c r="D395" s="272" t="s">
        <v>1485</v>
      </c>
      <c r="E395" s="271" t="s">
        <v>75</v>
      </c>
      <c r="F395" s="270">
        <f>0.7*2</f>
        <v>1.4</v>
      </c>
      <c r="G395" s="87">
        <v>5.0199999999999996</v>
      </c>
      <c r="H395" s="268">
        <f t="shared" si="6"/>
        <v>7.03</v>
      </c>
    </row>
    <row r="396" spans="2:8" x14ac:dyDescent="0.25">
      <c r="B396" s="59" t="s">
        <v>50</v>
      </c>
      <c r="C396" s="271">
        <v>96995</v>
      </c>
      <c r="D396" s="272" t="s">
        <v>1634</v>
      </c>
      <c r="E396" s="271" t="s">
        <v>1484</v>
      </c>
      <c r="F396" s="270">
        <f>TRUNC(0.5*2*0.5,2)</f>
        <v>0.5</v>
      </c>
      <c r="G396" s="87">
        <v>41.78</v>
      </c>
      <c r="H396" s="268">
        <f t="shared" si="6"/>
        <v>20.89</v>
      </c>
    </row>
    <row r="397" spans="2:8" ht="38.25" x14ac:dyDescent="0.25">
      <c r="B397" s="59" t="s">
        <v>50</v>
      </c>
      <c r="C397" s="271">
        <v>94962</v>
      </c>
      <c r="D397" s="273" t="s">
        <v>1486</v>
      </c>
      <c r="E397" s="48" t="s">
        <v>1484</v>
      </c>
      <c r="F397" s="270">
        <f>TRUNC(2*0.5*0.05,2)</f>
        <v>0.05</v>
      </c>
      <c r="G397" s="87">
        <v>436.22</v>
      </c>
      <c r="H397" s="268">
        <f t="shared" si="6"/>
        <v>21.81</v>
      </c>
    </row>
    <row r="398" spans="2:8" ht="38.25" x14ac:dyDescent="0.25">
      <c r="B398" s="59" t="s">
        <v>50</v>
      </c>
      <c r="C398" s="48">
        <v>103328</v>
      </c>
      <c r="D398" s="32" t="s">
        <v>1487</v>
      </c>
      <c r="E398" s="85" t="s">
        <v>75</v>
      </c>
      <c r="F398" s="274">
        <f>2*2*1.5</f>
        <v>6</v>
      </c>
      <c r="G398" s="87">
        <v>86.72</v>
      </c>
      <c r="H398" s="268">
        <f t="shared" si="6"/>
        <v>520.32000000000005</v>
      </c>
    </row>
    <row r="399" spans="2:8" ht="38.25" x14ac:dyDescent="0.25">
      <c r="B399" s="59" t="s">
        <v>50</v>
      </c>
      <c r="C399" s="48">
        <v>103325</v>
      </c>
      <c r="D399" s="32" t="s">
        <v>1488</v>
      </c>
      <c r="E399" s="85" t="s">
        <v>75</v>
      </c>
      <c r="F399" s="274">
        <f>2*2*1.5</f>
        <v>6</v>
      </c>
      <c r="G399" s="87">
        <v>85.5</v>
      </c>
      <c r="H399" s="268">
        <f t="shared" si="6"/>
        <v>513</v>
      </c>
    </row>
    <row r="400" spans="2:8" ht="51" x14ac:dyDescent="0.2">
      <c r="B400" s="59" t="s">
        <v>50</v>
      </c>
      <c r="C400" s="85">
        <v>87894</v>
      </c>
      <c r="D400" s="275" t="s">
        <v>1489</v>
      </c>
      <c r="E400" s="85" t="s">
        <v>75</v>
      </c>
      <c r="F400" s="92">
        <f>TRUNC(2*2*1.5+2*1.5*0.46,2)</f>
        <v>7.38</v>
      </c>
      <c r="G400" s="87">
        <v>6.05</v>
      </c>
      <c r="H400" s="268">
        <f t="shared" si="6"/>
        <v>44.65</v>
      </c>
    </row>
    <row r="401" spans="2:8" ht="51" x14ac:dyDescent="0.2">
      <c r="B401" s="59" t="s">
        <v>50</v>
      </c>
      <c r="C401" s="85">
        <v>87529</v>
      </c>
      <c r="D401" s="276" t="s">
        <v>1490</v>
      </c>
      <c r="E401" s="85" t="s">
        <v>75</v>
      </c>
      <c r="F401" s="92">
        <f>TRUNC(2*2*1.5+2*1.5*0.46,2)</f>
        <v>7.38</v>
      </c>
      <c r="G401" s="87">
        <v>34.81</v>
      </c>
      <c r="H401" s="268">
        <f t="shared" si="6"/>
        <v>256.89999999999998</v>
      </c>
    </row>
    <row r="402" spans="2:8" ht="51" x14ac:dyDescent="0.25">
      <c r="B402" s="59" t="s">
        <v>50</v>
      </c>
      <c r="C402" s="85">
        <v>102475</v>
      </c>
      <c r="D402" s="277" t="s">
        <v>1491</v>
      </c>
      <c r="E402" s="48" t="s">
        <v>1484</v>
      </c>
      <c r="F402" s="270">
        <f>TRUNC(0.6*0.08*2,4)</f>
        <v>9.6000000000000002E-2</v>
      </c>
      <c r="G402" s="87">
        <v>703.3</v>
      </c>
      <c r="H402" s="268">
        <f t="shared" si="6"/>
        <v>67.52</v>
      </c>
    </row>
    <row r="403" spans="2:8" ht="25.5" x14ac:dyDescent="0.25">
      <c r="B403" s="59" t="s">
        <v>50</v>
      </c>
      <c r="C403" s="278">
        <v>88485</v>
      </c>
      <c r="D403" s="34" t="s">
        <v>1492</v>
      </c>
      <c r="E403" s="271" t="s">
        <v>75</v>
      </c>
      <c r="F403" s="279">
        <f>F404</f>
        <v>7.6</v>
      </c>
      <c r="G403" s="87">
        <v>2.09</v>
      </c>
      <c r="H403" s="268">
        <f t="shared" si="6"/>
        <v>15.88</v>
      </c>
    </row>
    <row r="404" spans="2:8" ht="25.5" x14ac:dyDescent="0.25">
      <c r="B404" s="59" t="s">
        <v>50</v>
      </c>
      <c r="C404" s="85">
        <v>88489</v>
      </c>
      <c r="D404" s="20" t="s">
        <v>1493</v>
      </c>
      <c r="E404" s="48" t="s">
        <v>75</v>
      </c>
      <c r="F404" s="270">
        <f>TRUNC(2*1*2+2*0.5*1+2+0.6,2)</f>
        <v>7.6</v>
      </c>
      <c r="G404" s="87">
        <v>14.37</v>
      </c>
      <c r="H404" s="268">
        <f t="shared" si="6"/>
        <v>109.21</v>
      </c>
    </row>
    <row r="405" spans="2:8" ht="38.25" x14ac:dyDescent="0.2">
      <c r="B405" s="59" t="s">
        <v>50</v>
      </c>
      <c r="C405" s="85">
        <v>101875</v>
      </c>
      <c r="D405" s="276" t="s">
        <v>1494</v>
      </c>
      <c r="E405" s="85" t="s">
        <v>47</v>
      </c>
      <c r="F405" s="359">
        <v>1</v>
      </c>
      <c r="G405" s="87">
        <v>440.11</v>
      </c>
      <c r="H405" s="268">
        <f t="shared" si="6"/>
        <v>440.11</v>
      </c>
    </row>
    <row r="406" spans="2:8" x14ac:dyDescent="0.25">
      <c r="B406" s="559" t="s">
        <v>1522</v>
      </c>
      <c r="C406" s="559"/>
      <c r="D406" s="559"/>
      <c r="E406" s="154"/>
      <c r="F406" s="154"/>
      <c r="G406" s="155" t="s">
        <v>5</v>
      </c>
      <c r="H406" s="269">
        <f>SUM(H394:H405)</f>
        <v>2065.56</v>
      </c>
    </row>
    <row r="407" spans="2:8" x14ac:dyDescent="0.25">
      <c r="B407" s="522"/>
      <c r="C407" s="522"/>
      <c r="D407" s="522"/>
      <c r="E407" s="522"/>
      <c r="F407" s="522"/>
      <c r="G407" s="522"/>
      <c r="H407" s="522"/>
    </row>
    <row r="408" spans="2:8" ht="27" customHeight="1" x14ac:dyDescent="0.25">
      <c r="B408" s="560" t="s">
        <v>1495</v>
      </c>
      <c r="C408" s="540" t="s">
        <v>1751</v>
      </c>
      <c r="D408" s="523"/>
      <c r="E408" s="523"/>
      <c r="F408" s="523"/>
      <c r="G408" s="523"/>
      <c r="H408" s="264" t="s">
        <v>309</v>
      </c>
    </row>
    <row r="409" spans="2:8" x14ac:dyDescent="0.25">
      <c r="B409" s="560"/>
      <c r="C409" s="265" t="s">
        <v>233</v>
      </c>
      <c r="D409" s="266" t="s">
        <v>234</v>
      </c>
      <c r="E409" s="266" t="s">
        <v>47</v>
      </c>
      <c r="F409" s="266" t="s">
        <v>37</v>
      </c>
      <c r="G409" s="267" t="s">
        <v>48</v>
      </c>
      <c r="H409" s="267" t="s">
        <v>235</v>
      </c>
    </row>
    <row r="410" spans="2:8" x14ac:dyDescent="0.25">
      <c r="B410" s="59" t="s">
        <v>50</v>
      </c>
      <c r="C410" s="59">
        <v>88247</v>
      </c>
      <c r="D410" s="60" t="s">
        <v>465</v>
      </c>
      <c r="E410" s="59" t="s">
        <v>54</v>
      </c>
      <c r="F410" s="64">
        <v>4</v>
      </c>
      <c r="G410" s="87">
        <f>G385</f>
        <v>18.809999999999999</v>
      </c>
      <c r="H410" s="268">
        <f t="shared" ref="H410:H432" si="7">G410*F410</f>
        <v>75.239999999999995</v>
      </c>
    </row>
    <row r="411" spans="2:8" x14ac:dyDescent="0.25">
      <c r="B411" s="59" t="s">
        <v>50</v>
      </c>
      <c r="C411" s="59">
        <v>88264</v>
      </c>
      <c r="D411" s="60" t="s">
        <v>466</v>
      </c>
      <c r="E411" s="59" t="s">
        <v>54</v>
      </c>
      <c r="F411" s="64">
        <v>8</v>
      </c>
      <c r="G411" s="87">
        <f>G386</f>
        <v>22.67</v>
      </c>
      <c r="H411" s="268">
        <f t="shared" si="7"/>
        <v>181.36</v>
      </c>
    </row>
    <row r="412" spans="2:8" x14ac:dyDescent="0.25">
      <c r="B412" s="59" t="s">
        <v>50</v>
      </c>
      <c r="C412" s="271">
        <v>88296</v>
      </c>
      <c r="D412" s="272" t="s">
        <v>1496</v>
      </c>
      <c r="E412" s="59" t="s">
        <v>54</v>
      </c>
      <c r="F412" s="280">
        <v>2</v>
      </c>
      <c r="G412" s="87">
        <v>15.98</v>
      </c>
      <c r="H412" s="268">
        <f t="shared" si="7"/>
        <v>31.96</v>
      </c>
    </row>
    <row r="413" spans="2:8" ht="51" x14ac:dyDescent="0.25">
      <c r="B413" s="59" t="s">
        <v>50</v>
      </c>
      <c r="C413" s="271">
        <v>93402</v>
      </c>
      <c r="D413" s="272" t="s">
        <v>1497</v>
      </c>
      <c r="E413" s="59" t="s">
        <v>289</v>
      </c>
      <c r="F413" s="280">
        <v>2</v>
      </c>
      <c r="G413" s="87">
        <v>260.57</v>
      </c>
      <c r="H413" s="268">
        <f t="shared" si="7"/>
        <v>521.14</v>
      </c>
    </row>
    <row r="414" spans="2:8" ht="38.25" x14ac:dyDescent="0.25">
      <c r="B414" s="59" t="s">
        <v>49</v>
      </c>
      <c r="C414" s="85">
        <v>5033</v>
      </c>
      <c r="D414" s="25" t="s">
        <v>1498</v>
      </c>
      <c r="E414" s="85" t="s">
        <v>47</v>
      </c>
      <c r="F414" s="145">
        <v>1</v>
      </c>
      <c r="G414" s="87">
        <v>794</v>
      </c>
      <c r="H414" s="268">
        <f t="shared" si="7"/>
        <v>794</v>
      </c>
    </row>
    <row r="415" spans="2:8" ht="25.5" x14ac:dyDescent="0.25">
      <c r="B415" s="59" t="s">
        <v>49</v>
      </c>
      <c r="C415" s="85">
        <v>43130</v>
      </c>
      <c r="D415" s="25" t="s">
        <v>1499</v>
      </c>
      <c r="E415" s="85" t="s">
        <v>253</v>
      </c>
      <c r="F415" s="145">
        <v>0.5</v>
      </c>
      <c r="G415" s="87">
        <v>24.95</v>
      </c>
      <c r="H415" s="268">
        <f t="shared" si="7"/>
        <v>12.48</v>
      </c>
    </row>
    <row r="416" spans="2:8" ht="25.5" x14ac:dyDescent="0.25">
      <c r="B416" s="59" t="s">
        <v>49</v>
      </c>
      <c r="C416" s="85">
        <v>1091</v>
      </c>
      <c r="D416" s="25" t="s">
        <v>1500</v>
      </c>
      <c r="E416" s="85" t="s">
        <v>47</v>
      </c>
      <c r="F416" s="145">
        <v>1</v>
      </c>
      <c r="G416" s="87">
        <v>47.22</v>
      </c>
      <c r="H416" s="268">
        <f t="shared" si="7"/>
        <v>47.22</v>
      </c>
    </row>
    <row r="417" spans="2:8" ht="38.25" x14ac:dyDescent="0.25">
      <c r="B417" s="59" t="s">
        <v>49</v>
      </c>
      <c r="C417" s="85">
        <v>3405</v>
      </c>
      <c r="D417" s="25" t="s">
        <v>1501</v>
      </c>
      <c r="E417" s="85" t="s">
        <v>47</v>
      </c>
      <c r="F417" s="145">
        <v>1</v>
      </c>
      <c r="G417" s="87">
        <v>85.36</v>
      </c>
      <c r="H417" s="268">
        <f t="shared" si="7"/>
        <v>85.36</v>
      </c>
    </row>
    <row r="418" spans="2:8" ht="38.25" x14ac:dyDescent="0.25">
      <c r="B418" s="59" t="s">
        <v>49</v>
      </c>
      <c r="C418" s="85">
        <v>439</v>
      </c>
      <c r="D418" s="25" t="s">
        <v>1502</v>
      </c>
      <c r="E418" s="85" t="s">
        <v>47</v>
      </c>
      <c r="F418" s="145">
        <v>1</v>
      </c>
      <c r="G418" s="87">
        <v>19.97</v>
      </c>
      <c r="H418" s="268">
        <f t="shared" si="7"/>
        <v>19.97</v>
      </c>
    </row>
    <row r="419" spans="2:8" x14ac:dyDescent="0.25">
      <c r="B419" s="59" t="s">
        <v>49</v>
      </c>
      <c r="C419" s="85">
        <v>2686</v>
      </c>
      <c r="D419" s="25" t="s">
        <v>1503</v>
      </c>
      <c r="E419" s="85" t="s">
        <v>248</v>
      </c>
      <c r="F419" s="145">
        <v>9</v>
      </c>
      <c r="G419" s="87">
        <v>36.78</v>
      </c>
      <c r="H419" s="268">
        <f t="shared" si="7"/>
        <v>331.02</v>
      </c>
    </row>
    <row r="420" spans="2:8" ht="25.5" x14ac:dyDescent="0.25">
      <c r="B420" s="59" t="s">
        <v>49</v>
      </c>
      <c r="C420" s="85">
        <v>1877</v>
      </c>
      <c r="D420" s="25" t="s">
        <v>1504</v>
      </c>
      <c r="E420" s="85" t="s">
        <v>47</v>
      </c>
      <c r="F420" s="145">
        <v>2</v>
      </c>
      <c r="G420" s="87">
        <v>26.12</v>
      </c>
      <c r="H420" s="268">
        <f t="shared" si="7"/>
        <v>52.24</v>
      </c>
    </row>
    <row r="421" spans="2:8" x14ac:dyDescent="0.25">
      <c r="B421" s="59" t="s">
        <v>49</v>
      </c>
      <c r="C421" s="85">
        <v>1102</v>
      </c>
      <c r="D421" s="25" t="s">
        <v>1505</v>
      </c>
      <c r="E421" s="85" t="s">
        <v>47</v>
      </c>
      <c r="F421" s="145">
        <v>1</v>
      </c>
      <c r="G421" s="87">
        <v>44.81</v>
      </c>
      <c r="H421" s="268">
        <f t="shared" si="7"/>
        <v>44.81</v>
      </c>
    </row>
    <row r="422" spans="2:8" x14ac:dyDescent="0.25">
      <c r="B422" s="59" t="s">
        <v>49</v>
      </c>
      <c r="C422" s="85">
        <v>1896</v>
      </c>
      <c r="D422" s="25" t="s">
        <v>1506</v>
      </c>
      <c r="E422" s="85" t="s">
        <v>47</v>
      </c>
      <c r="F422" s="145">
        <v>4</v>
      </c>
      <c r="G422" s="87">
        <v>16.97</v>
      </c>
      <c r="H422" s="268">
        <f t="shared" si="7"/>
        <v>67.88</v>
      </c>
    </row>
    <row r="423" spans="2:8" x14ac:dyDescent="0.25">
      <c r="B423" s="59" t="s">
        <v>49</v>
      </c>
      <c r="C423" s="85">
        <v>39181</v>
      </c>
      <c r="D423" s="25" t="s">
        <v>1507</v>
      </c>
      <c r="E423" s="85" t="s">
        <v>47</v>
      </c>
      <c r="F423" s="145">
        <v>2</v>
      </c>
      <c r="G423" s="87">
        <v>7.74</v>
      </c>
      <c r="H423" s="268">
        <f t="shared" si="7"/>
        <v>15.48</v>
      </c>
    </row>
    <row r="424" spans="2:8" x14ac:dyDescent="0.25">
      <c r="B424" s="59" t="s">
        <v>49</v>
      </c>
      <c r="C424" s="85">
        <v>39215</v>
      </c>
      <c r="D424" s="25" t="s">
        <v>1508</v>
      </c>
      <c r="E424" s="85" t="s">
        <v>47</v>
      </c>
      <c r="F424" s="145">
        <v>2</v>
      </c>
      <c r="G424" s="87">
        <v>6.31</v>
      </c>
      <c r="H424" s="268">
        <f t="shared" si="7"/>
        <v>12.62</v>
      </c>
    </row>
    <row r="425" spans="2:8" x14ac:dyDescent="0.25">
      <c r="B425" s="59" t="s">
        <v>49</v>
      </c>
      <c r="C425" s="85">
        <v>2391</v>
      </c>
      <c r="D425" s="25" t="s">
        <v>1509</v>
      </c>
      <c r="E425" s="85" t="s">
        <v>47</v>
      </c>
      <c r="F425" s="145">
        <v>1</v>
      </c>
      <c r="G425" s="87">
        <v>388.94</v>
      </c>
      <c r="H425" s="268">
        <f t="shared" si="7"/>
        <v>388.94</v>
      </c>
    </row>
    <row r="426" spans="2:8" x14ac:dyDescent="0.25">
      <c r="B426" s="59" t="s">
        <v>49</v>
      </c>
      <c r="C426" s="85">
        <v>998</v>
      </c>
      <c r="D426" s="25" t="s">
        <v>1510</v>
      </c>
      <c r="E426" s="85" t="s">
        <v>248</v>
      </c>
      <c r="F426" s="145">
        <v>30</v>
      </c>
      <c r="G426" s="87">
        <v>88.13</v>
      </c>
      <c r="H426" s="268">
        <f t="shared" si="7"/>
        <v>2643.9</v>
      </c>
    </row>
    <row r="427" spans="2:8" ht="25.5" x14ac:dyDescent="0.25">
      <c r="B427" s="59" t="s">
        <v>49</v>
      </c>
      <c r="C427" s="85">
        <v>39265</v>
      </c>
      <c r="D427" s="25" t="s">
        <v>1511</v>
      </c>
      <c r="E427" s="85" t="s">
        <v>248</v>
      </c>
      <c r="F427" s="145">
        <v>30</v>
      </c>
      <c r="G427" s="87">
        <v>161.66999999999999</v>
      </c>
      <c r="H427" s="268">
        <f t="shared" si="7"/>
        <v>4850.1000000000004</v>
      </c>
    </row>
    <row r="428" spans="2:8" x14ac:dyDescent="0.25">
      <c r="B428" s="59" t="s">
        <v>49</v>
      </c>
      <c r="C428" s="85">
        <v>11273</v>
      </c>
      <c r="D428" s="25" t="s">
        <v>1512</v>
      </c>
      <c r="E428" s="85" t="s">
        <v>47</v>
      </c>
      <c r="F428" s="145">
        <v>1</v>
      </c>
      <c r="G428" s="87">
        <v>17.34</v>
      </c>
      <c r="H428" s="268">
        <f t="shared" si="7"/>
        <v>17.34</v>
      </c>
    </row>
    <row r="429" spans="2:8" ht="38.25" x14ac:dyDescent="0.25">
      <c r="B429" s="59" t="s">
        <v>49</v>
      </c>
      <c r="C429" s="85">
        <v>39809</v>
      </c>
      <c r="D429" s="25" t="s">
        <v>1513</v>
      </c>
      <c r="E429" s="85" t="s">
        <v>47</v>
      </c>
      <c r="F429" s="145">
        <v>1</v>
      </c>
      <c r="G429" s="87">
        <v>221.25</v>
      </c>
      <c r="H429" s="268">
        <f t="shared" si="7"/>
        <v>221.25</v>
      </c>
    </row>
    <row r="430" spans="2:8" ht="63.75" x14ac:dyDescent="0.25">
      <c r="B430" s="59" t="s">
        <v>49</v>
      </c>
      <c r="C430" s="85">
        <v>1564</v>
      </c>
      <c r="D430" s="25" t="s">
        <v>1514</v>
      </c>
      <c r="E430" s="85" t="s">
        <v>47</v>
      </c>
      <c r="F430" s="145">
        <v>4</v>
      </c>
      <c r="G430" s="87">
        <v>12.74</v>
      </c>
      <c r="H430" s="268">
        <f t="shared" si="7"/>
        <v>50.96</v>
      </c>
    </row>
    <row r="431" spans="2:8" x14ac:dyDescent="0.25">
      <c r="B431" s="59" t="s">
        <v>49</v>
      </c>
      <c r="C431" s="85">
        <v>857</v>
      </c>
      <c r="D431" s="25" t="s">
        <v>1515</v>
      </c>
      <c r="E431" s="85" t="s">
        <v>248</v>
      </c>
      <c r="F431" s="145">
        <v>8</v>
      </c>
      <c r="G431" s="87">
        <v>17.059999999999999</v>
      </c>
      <c r="H431" s="268">
        <f t="shared" si="7"/>
        <v>136.47999999999999</v>
      </c>
    </row>
    <row r="432" spans="2:8" ht="25.5" x14ac:dyDescent="0.25">
      <c r="B432" s="59" t="s">
        <v>49</v>
      </c>
      <c r="C432" s="85">
        <v>1578</v>
      </c>
      <c r="D432" s="25" t="s">
        <v>1516</v>
      </c>
      <c r="E432" s="85" t="s">
        <v>47</v>
      </c>
      <c r="F432" s="145">
        <v>3</v>
      </c>
      <c r="G432" s="87">
        <v>5.21</v>
      </c>
      <c r="H432" s="268">
        <f t="shared" si="7"/>
        <v>15.63</v>
      </c>
    </row>
    <row r="433" spans="2:8" x14ac:dyDescent="0.25">
      <c r="B433" s="561" t="s">
        <v>1522</v>
      </c>
      <c r="C433" s="561"/>
      <c r="D433" s="561"/>
      <c r="E433" s="281"/>
      <c r="F433" s="281"/>
      <c r="G433" s="282" t="s">
        <v>5</v>
      </c>
      <c r="H433" s="283">
        <f>SUM(H410:H432)</f>
        <v>10617.38</v>
      </c>
    </row>
    <row r="434" spans="2:8" x14ac:dyDescent="0.25">
      <c r="B434" s="522"/>
      <c r="C434" s="522"/>
      <c r="D434" s="522"/>
      <c r="E434" s="522"/>
      <c r="F434" s="522"/>
      <c r="G434" s="522"/>
      <c r="H434" s="522"/>
    </row>
    <row r="435" spans="2:8" ht="27" customHeight="1" x14ac:dyDescent="0.25">
      <c r="B435" s="560" t="s">
        <v>1517</v>
      </c>
      <c r="C435" s="540" t="s">
        <v>1608</v>
      </c>
      <c r="D435" s="523"/>
      <c r="E435" s="523"/>
      <c r="F435" s="523"/>
      <c r="G435" s="523"/>
      <c r="H435" s="264" t="s">
        <v>309</v>
      </c>
    </row>
    <row r="436" spans="2:8" x14ac:dyDescent="0.25">
      <c r="B436" s="560"/>
      <c r="C436" s="265" t="s">
        <v>233</v>
      </c>
      <c r="D436" s="266" t="s">
        <v>234</v>
      </c>
      <c r="E436" s="266" t="s">
        <v>47</v>
      </c>
      <c r="F436" s="266" t="s">
        <v>37</v>
      </c>
      <c r="G436" s="267" t="s">
        <v>48</v>
      </c>
      <c r="H436" s="267" t="s">
        <v>235</v>
      </c>
    </row>
    <row r="437" spans="2:8" x14ac:dyDescent="0.25">
      <c r="B437" s="59" t="s">
        <v>50</v>
      </c>
      <c r="C437" s="59">
        <v>88264</v>
      </c>
      <c r="D437" s="60" t="s">
        <v>466</v>
      </c>
      <c r="E437" s="59" t="s">
        <v>54</v>
      </c>
      <c r="F437" s="202">
        <v>0.71</v>
      </c>
      <c r="G437" s="87">
        <v>22.67</v>
      </c>
      <c r="H437" s="268">
        <f t="shared" ref="H437:H443" si="8">G437*F437</f>
        <v>16.100000000000001</v>
      </c>
    </row>
    <row r="438" spans="2:8" x14ac:dyDescent="0.25">
      <c r="B438" s="59" t="s">
        <v>50</v>
      </c>
      <c r="C438" s="59">
        <v>88247</v>
      </c>
      <c r="D438" s="60" t="s">
        <v>465</v>
      </c>
      <c r="E438" s="59" t="s">
        <v>54</v>
      </c>
      <c r="F438" s="202">
        <v>0.71</v>
      </c>
      <c r="G438" s="87">
        <v>18.809999999999999</v>
      </c>
      <c r="H438" s="268">
        <f t="shared" si="8"/>
        <v>13.36</v>
      </c>
    </row>
    <row r="439" spans="2:8" ht="25.5" x14ac:dyDescent="0.25">
      <c r="B439" s="59" t="s">
        <v>49</v>
      </c>
      <c r="C439" s="59">
        <v>39211</v>
      </c>
      <c r="D439" s="60" t="s">
        <v>1032</v>
      </c>
      <c r="E439" s="59" t="s">
        <v>309</v>
      </c>
      <c r="F439" s="202">
        <v>25.2</v>
      </c>
      <c r="G439" s="87">
        <f t="shared" ref="G439:G443" si="9">G450</f>
        <v>1.67</v>
      </c>
      <c r="H439" s="268">
        <f t="shared" si="8"/>
        <v>42.08</v>
      </c>
    </row>
    <row r="440" spans="2:8" x14ac:dyDescent="0.25">
      <c r="B440" s="59" t="s">
        <v>49</v>
      </c>
      <c r="C440" s="59">
        <v>39997</v>
      </c>
      <c r="D440" s="60" t="s">
        <v>1033</v>
      </c>
      <c r="E440" s="59" t="s">
        <v>309</v>
      </c>
      <c r="F440" s="202">
        <v>25.2</v>
      </c>
      <c r="G440" s="87">
        <f t="shared" si="9"/>
        <v>0.32</v>
      </c>
      <c r="H440" s="268">
        <f t="shared" si="8"/>
        <v>8.06</v>
      </c>
    </row>
    <row r="441" spans="2:8" ht="25.5" x14ac:dyDescent="0.25">
      <c r="B441" s="59" t="s">
        <v>49</v>
      </c>
      <c r="C441" s="238" t="str">
        <f>COTAÇÕES!C63</f>
        <v>COT 019</v>
      </c>
      <c r="D441" s="60" t="s">
        <v>1143</v>
      </c>
      <c r="E441" s="59" t="s">
        <v>309</v>
      </c>
      <c r="F441" s="202">
        <v>1</v>
      </c>
      <c r="G441" s="87">
        <f>COTAÇÕES!J63</f>
        <v>39.5</v>
      </c>
      <c r="H441" s="268">
        <f t="shared" si="8"/>
        <v>39.5</v>
      </c>
    </row>
    <row r="442" spans="2:8" ht="25.5" x14ac:dyDescent="0.25">
      <c r="B442" s="59" t="s">
        <v>49</v>
      </c>
      <c r="C442" s="238">
        <f>C422</f>
        <v>1896</v>
      </c>
      <c r="D442" s="60" t="s">
        <v>1027</v>
      </c>
      <c r="E442" s="59" t="s">
        <v>309</v>
      </c>
      <c r="F442" s="202">
        <v>6</v>
      </c>
      <c r="G442" s="87">
        <v>16.97</v>
      </c>
      <c r="H442" s="268">
        <f t="shared" si="8"/>
        <v>101.82</v>
      </c>
    </row>
    <row r="443" spans="2:8" ht="25.5" x14ac:dyDescent="0.25">
      <c r="B443" s="59" t="s">
        <v>49</v>
      </c>
      <c r="C443" s="59">
        <v>11962</v>
      </c>
      <c r="D443" s="60" t="s">
        <v>1477</v>
      </c>
      <c r="E443" s="59" t="s">
        <v>309</v>
      </c>
      <c r="F443" s="202">
        <v>25.2</v>
      </c>
      <c r="G443" s="87">
        <f t="shared" si="9"/>
        <v>0.24</v>
      </c>
      <c r="H443" s="268">
        <f t="shared" si="8"/>
        <v>6.05</v>
      </c>
    </row>
    <row r="444" spans="2:8" x14ac:dyDescent="0.25">
      <c r="B444" s="559" t="s">
        <v>1026</v>
      </c>
      <c r="C444" s="559"/>
      <c r="D444" s="559"/>
      <c r="E444" s="154"/>
      <c r="F444" s="154"/>
      <c r="G444" s="155" t="s">
        <v>5</v>
      </c>
      <c r="H444" s="269">
        <f>SUM(H437:H443)</f>
        <v>226.97</v>
      </c>
    </row>
    <row r="445" spans="2:8" x14ac:dyDescent="0.25">
      <c r="B445" s="522"/>
      <c r="C445" s="522"/>
      <c r="D445" s="522"/>
      <c r="E445" s="522"/>
      <c r="F445" s="522"/>
      <c r="G445" s="522"/>
      <c r="H445" s="522"/>
    </row>
    <row r="446" spans="2:8" ht="27" customHeight="1" x14ac:dyDescent="0.25">
      <c r="B446" s="560" t="s">
        <v>1518</v>
      </c>
      <c r="C446" s="540" t="s">
        <v>1609</v>
      </c>
      <c r="D446" s="523"/>
      <c r="E446" s="523"/>
      <c r="F446" s="523"/>
      <c r="G446" s="523"/>
      <c r="H446" s="264" t="s">
        <v>309</v>
      </c>
    </row>
    <row r="447" spans="2:8" x14ac:dyDescent="0.25">
      <c r="B447" s="560"/>
      <c r="C447" s="265" t="s">
        <v>233</v>
      </c>
      <c r="D447" s="266" t="s">
        <v>234</v>
      </c>
      <c r="E447" s="266" t="s">
        <v>47</v>
      </c>
      <c r="F447" s="266" t="s">
        <v>37</v>
      </c>
      <c r="G447" s="267" t="s">
        <v>48</v>
      </c>
      <c r="H447" s="267" t="s">
        <v>235</v>
      </c>
    </row>
    <row r="448" spans="2:8" x14ac:dyDescent="0.25">
      <c r="B448" s="59" t="s">
        <v>50</v>
      </c>
      <c r="C448" s="59">
        <v>88247</v>
      </c>
      <c r="D448" s="60" t="s">
        <v>465</v>
      </c>
      <c r="E448" s="59" t="s">
        <v>54</v>
      </c>
      <c r="F448" s="202">
        <v>0.36599999999999999</v>
      </c>
      <c r="G448" s="87">
        <f>G410</f>
        <v>18.809999999999999</v>
      </c>
      <c r="H448" s="268">
        <f t="shared" ref="H448:H454" si="10">G448*F448</f>
        <v>6.88</v>
      </c>
    </row>
    <row r="449" spans="2:8" x14ac:dyDescent="0.25">
      <c r="B449" s="59" t="s">
        <v>50</v>
      </c>
      <c r="C449" s="59">
        <v>88264</v>
      </c>
      <c r="D449" s="60" t="s">
        <v>466</v>
      </c>
      <c r="E449" s="59" t="s">
        <v>54</v>
      </c>
      <c r="F449" s="202">
        <v>0.36599999999999999</v>
      </c>
      <c r="G449" s="87">
        <f>G411</f>
        <v>22.67</v>
      </c>
      <c r="H449" s="268">
        <f t="shared" si="10"/>
        <v>8.3000000000000007</v>
      </c>
    </row>
    <row r="450" spans="2:8" ht="25.5" x14ac:dyDescent="0.25">
      <c r="B450" s="59" t="s">
        <v>49</v>
      </c>
      <c r="C450" s="59">
        <v>39211</v>
      </c>
      <c r="D450" s="60" t="s">
        <v>1032</v>
      </c>
      <c r="E450" s="59" t="s">
        <v>309</v>
      </c>
      <c r="F450" s="202">
        <v>25.2</v>
      </c>
      <c r="G450" s="87">
        <f>G143</f>
        <v>1.67</v>
      </c>
      <c r="H450" s="268">
        <f t="shared" si="10"/>
        <v>42.08</v>
      </c>
    </row>
    <row r="451" spans="2:8" x14ac:dyDescent="0.25">
      <c r="B451" s="59" t="s">
        <v>49</v>
      </c>
      <c r="C451" s="59">
        <v>39997</v>
      </c>
      <c r="D451" s="60" t="s">
        <v>1033</v>
      </c>
      <c r="E451" s="59" t="s">
        <v>309</v>
      </c>
      <c r="F451" s="202">
        <v>25.2</v>
      </c>
      <c r="G451" s="87">
        <f t="shared" ref="G451:G454" si="11">G144</f>
        <v>0.32</v>
      </c>
      <c r="H451" s="268">
        <f t="shared" si="10"/>
        <v>8.06</v>
      </c>
    </row>
    <row r="452" spans="2:8" ht="25.5" x14ac:dyDescent="0.25">
      <c r="B452" s="59" t="s">
        <v>49</v>
      </c>
      <c r="C452" s="59" t="str">
        <f>COTAÇÕES!C63</f>
        <v>COT 019</v>
      </c>
      <c r="D452" s="60" t="s">
        <v>1519</v>
      </c>
      <c r="E452" s="59" t="s">
        <v>309</v>
      </c>
      <c r="F452" s="202">
        <v>1</v>
      </c>
      <c r="G452" s="87">
        <f>COTAÇÕES!J63</f>
        <v>39.5</v>
      </c>
      <c r="H452" s="268">
        <f t="shared" si="10"/>
        <v>39.5</v>
      </c>
    </row>
    <row r="453" spans="2:8" ht="25.5" x14ac:dyDescent="0.25">
      <c r="B453" s="59" t="s">
        <v>49</v>
      </c>
      <c r="C453" s="59" t="str">
        <f>COTAÇÕES!C51</f>
        <v>COT 015</v>
      </c>
      <c r="D453" s="60" t="s">
        <v>1027</v>
      </c>
      <c r="E453" s="59" t="s">
        <v>309</v>
      </c>
      <c r="F453" s="202">
        <v>6</v>
      </c>
      <c r="G453" s="87">
        <f>COTAÇÕES!J51</f>
        <v>1.6</v>
      </c>
      <c r="H453" s="268">
        <f t="shared" si="10"/>
        <v>9.6</v>
      </c>
    </row>
    <row r="454" spans="2:8" ht="25.5" x14ac:dyDescent="0.25">
      <c r="B454" s="59" t="s">
        <v>49</v>
      </c>
      <c r="C454" s="59">
        <f>C443</f>
        <v>11962</v>
      </c>
      <c r="D454" s="60" t="s">
        <v>1477</v>
      </c>
      <c r="E454" s="59" t="s">
        <v>309</v>
      </c>
      <c r="F454" s="202">
        <v>25.2</v>
      </c>
      <c r="G454" s="87">
        <f t="shared" si="11"/>
        <v>0.24</v>
      </c>
      <c r="H454" s="268">
        <f t="shared" si="10"/>
        <v>6.05</v>
      </c>
    </row>
    <row r="455" spans="2:8" x14ac:dyDescent="0.25">
      <c r="B455" s="559" t="s">
        <v>1031</v>
      </c>
      <c r="C455" s="559"/>
      <c r="D455" s="559"/>
      <c r="E455" s="154"/>
      <c r="F455" s="154"/>
      <c r="G455" s="155" t="s">
        <v>5</v>
      </c>
      <c r="H455" s="269">
        <f>SUM(H448:H454)</f>
        <v>120.47</v>
      </c>
    </row>
    <row r="456" spans="2:8" x14ac:dyDescent="0.25">
      <c r="B456" s="522"/>
      <c r="C456" s="522"/>
      <c r="D456" s="522"/>
      <c r="E456" s="522"/>
      <c r="F456" s="522"/>
      <c r="G456" s="522"/>
      <c r="H456" s="522"/>
    </row>
    <row r="457" spans="2:8" ht="94.9" customHeight="1" x14ac:dyDescent="0.25">
      <c r="B457" s="560" t="s">
        <v>1520</v>
      </c>
      <c r="C457" s="540" t="s">
        <v>1540</v>
      </c>
      <c r="D457" s="523"/>
      <c r="E457" s="523"/>
      <c r="F457" s="523"/>
      <c r="G457" s="523"/>
      <c r="H457" s="264" t="s">
        <v>47</v>
      </c>
    </row>
    <row r="458" spans="2:8" x14ac:dyDescent="0.25">
      <c r="B458" s="560"/>
      <c r="C458" s="265" t="s">
        <v>233</v>
      </c>
      <c r="D458" s="266" t="s">
        <v>234</v>
      </c>
      <c r="E458" s="266" t="s">
        <v>47</v>
      </c>
      <c r="F458" s="266" t="s">
        <v>37</v>
      </c>
      <c r="G458" s="267" t="s">
        <v>48</v>
      </c>
      <c r="H458" s="267" t="s">
        <v>235</v>
      </c>
    </row>
    <row r="459" spans="2:8" x14ac:dyDescent="0.25">
      <c r="B459" s="65" t="s">
        <v>50</v>
      </c>
      <c r="C459" s="59">
        <v>88247</v>
      </c>
      <c r="D459" s="60" t="s">
        <v>465</v>
      </c>
      <c r="E459" s="59" t="s">
        <v>54</v>
      </c>
      <c r="F459" s="64" t="s">
        <v>1240</v>
      </c>
      <c r="G459" s="87">
        <f>G448</f>
        <v>18.809999999999999</v>
      </c>
      <c r="H459" s="268">
        <f>G459*F459</f>
        <v>6.5</v>
      </c>
    </row>
    <row r="460" spans="2:8" x14ac:dyDescent="0.25">
      <c r="B460" s="65" t="s">
        <v>50</v>
      </c>
      <c r="C460" s="59">
        <v>88264</v>
      </c>
      <c r="D460" s="60" t="s">
        <v>466</v>
      </c>
      <c r="E460" s="59" t="s">
        <v>54</v>
      </c>
      <c r="F460" s="64" t="s">
        <v>1241</v>
      </c>
      <c r="G460" s="87">
        <f>G449</f>
        <v>22.67</v>
      </c>
      <c r="H460" s="268">
        <f>G460*F460</f>
        <v>18.79</v>
      </c>
    </row>
    <row r="461" spans="2:8" ht="153" x14ac:dyDescent="0.25">
      <c r="B461" s="59" t="s">
        <v>49</v>
      </c>
      <c r="C461" s="59" t="str">
        <f>COTAÇÕES!C66</f>
        <v>COT 020</v>
      </c>
      <c r="D461" s="60" t="s">
        <v>1521</v>
      </c>
      <c r="E461" s="65" t="s">
        <v>309</v>
      </c>
      <c r="F461" s="202">
        <v>1</v>
      </c>
      <c r="G461" s="87">
        <f>COTAÇÕES!J66</f>
        <v>98.84</v>
      </c>
      <c r="H461" s="268">
        <f>G461*F461</f>
        <v>98.84</v>
      </c>
    </row>
    <row r="462" spans="2:8" x14ac:dyDescent="0.25">
      <c r="B462" s="559" t="s">
        <v>1578</v>
      </c>
      <c r="C462" s="559"/>
      <c r="D462" s="559"/>
      <c r="E462" s="154"/>
      <c r="F462" s="154"/>
      <c r="G462" s="155" t="s">
        <v>5</v>
      </c>
      <c r="H462" s="269">
        <f>SUM(H459:H461)</f>
        <v>124.13</v>
      </c>
    </row>
    <row r="463" spans="2:8" x14ac:dyDescent="0.2">
      <c r="B463" s="8"/>
      <c r="C463" s="8"/>
      <c r="D463" s="8"/>
      <c r="E463" s="8"/>
      <c r="F463" s="8"/>
      <c r="G463" s="8"/>
      <c r="H463" s="8"/>
    </row>
    <row r="464" spans="2:8" x14ac:dyDescent="0.2">
      <c r="B464" s="8"/>
      <c r="C464" s="8"/>
      <c r="D464" s="8"/>
      <c r="E464" s="8"/>
      <c r="F464" s="8"/>
      <c r="G464" s="8"/>
      <c r="H464" s="221" t="str">
        <f>'PLANILHA ORÇAMENTÁRIA'!I461</f>
        <v>ARIPUANÃ - MT, 04 de Abril de 2023.</v>
      </c>
    </row>
    <row r="465" spans="2:8" x14ac:dyDescent="0.2">
      <c r="B465" s="8"/>
      <c r="C465" s="8"/>
      <c r="D465" s="8"/>
      <c r="E465" s="8"/>
      <c r="F465" s="8"/>
      <c r="G465" s="8"/>
      <c r="H465" s="8"/>
    </row>
    <row r="466" spans="2:8" ht="90" customHeight="1" x14ac:dyDescent="0.2">
      <c r="B466" s="396" t="str">
        <f>'PMA ESQ'!B304</f>
        <v xml:space="preserve">
FLÁVIA MARIA COSTA
ENG. CIVIL - CREA/MT 031403</v>
      </c>
      <c r="C466" s="396"/>
      <c r="D466" s="396"/>
      <c r="E466" s="396"/>
      <c r="F466" s="396"/>
      <c r="G466" s="396"/>
      <c r="H466" s="396"/>
    </row>
  </sheetData>
  <mergeCells count="219">
    <mergeCell ref="C351:G351"/>
    <mergeCell ref="B445:H445"/>
    <mergeCell ref="B446:B447"/>
    <mergeCell ref="C446:G446"/>
    <mergeCell ref="B455:D455"/>
    <mergeCell ref="B456:H456"/>
    <mergeCell ref="B457:B458"/>
    <mergeCell ref="C457:G457"/>
    <mergeCell ref="C372:G372"/>
    <mergeCell ref="B381:D381"/>
    <mergeCell ref="B382:H382"/>
    <mergeCell ref="B383:B384"/>
    <mergeCell ref="C383:G383"/>
    <mergeCell ref="B390:D390"/>
    <mergeCell ref="B391:H391"/>
    <mergeCell ref="B392:B393"/>
    <mergeCell ref="C392:G392"/>
    <mergeCell ref="B3:H3"/>
    <mergeCell ref="C4:E4"/>
    <mergeCell ref="F4:H5"/>
    <mergeCell ref="C5:E5"/>
    <mergeCell ref="B8:H8"/>
    <mergeCell ref="B9:B10"/>
    <mergeCell ref="C9:G9"/>
    <mergeCell ref="B17:D17"/>
    <mergeCell ref="B18:H18"/>
    <mergeCell ref="B19:B20"/>
    <mergeCell ref="C19:G19"/>
    <mergeCell ref="C6:D6"/>
    <mergeCell ref="C7:D7"/>
    <mergeCell ref="F7:H7"/>
    <mergeCell ref="B33:B34"/>
    <mergeCell ref="C33:G33"/>
    <mergeCell ref="B38:D38"/>
    <mergeCell ref="B39:H39"/>
    <mergeCell ref="B40:B41"/>
    <mergeCell ref="C40:G40"/>
    <mergeCell ref="B24:D24"/>
    <mergeCell ref="B25:H25"/>
    <mergeCell ref="B26:B27"/>
    <mergeCell ref="C26:G26"/>
    <mergeCell ref="B31:D31"/>
    <mergeCell ref="B32:H32"/>
    <mergeCell ref="B57:B58"/>
    <mergeCell ref="C57:G57"/>
    <mergeCell ref="B63:D63"/>
    <mergeCell ref="B64:H64"/>
    <mergeCell ref="B65:B66"/>
    <mergeCell ref="C65:G65"/>
    <mergeCell ref="B47:D47"/>
    <mergeCell ref="B48:H48"/>
    <mergeCell ref="B49:B50"/>
    <mergeCell ref="C49:G49"/>
    <mergeCell ref="B55:D55"/>
    <mergeCell ref="B56:H56"/>
    <mergeCell ref="B81:B82"/>
    <mergeCell ref="C81:G81"/>
    <mergeCell ref="B86:D86"/>
    <mergeCell ref="B87:H87"/>
    <mergeCell ref="B88:B89"/>
    <mergeCell ref="C88:G88"/>
    <mergeCell ref="B72:D72"/>
    <mergeCell ref="B73:H73"/>
    <mergeCell ref="B74:B75"/>
    <mergeCell ref="C74:G74"/>
    <mergeCell ref="B79:D79"/>
    <mergeCell ref="B80:H80"/>
    <mergeCell ref="B108:B109"/>
    <mergeCell ref="C108:G108"/>
    <mergeCell ref="B117:D117"/>
    <mergeCell ref="B118:H118"/>
    <mergeCell ref="B119:B120"/>
    <mergeCell ref="C119:G119"/>
    <mergeCell ref="B97:D97"/>
    <mergeCell ref="B98:H98"/>
    <mergeCell ref="B99:B100"/>
    <mergeCell ref="C99:G99"/>
    <mergeCell ref="B106:D106"/>
    <mergeCell ref="B107:H107"/>
    <mergeCell ref="B139:B140"/>
    <mergeCell ref="C139:G139"/>
    <mergeCell ref="B148:D148"/>
    <mergeCell ref="B149:H149"/>
    <mergeCell ref="B126:D126"/>
    <mergeCell ref="B127:H127"/>
    <mergeCell ref="B128:B129"/>
    <mergeCell ref="C128:G128"/>
    <mergeCell ref="B137:D137"/>
    <mergeCell ref="B138:H138"/>
    <mergeCell ref="B156:B157"/>
    <mergeCell ref="C156:G156"/>
    <mergeCell ref="B160:D160"/>
    <mergeCell ref="B161:H161"/>
    <mergeCell ref="B162:B163"/>
    <mergeCell ref="C162:G162"/>
    <mergeCell ref="B150:B151"/>
    <mergeCell ref="C150:G150"/>
    <mergeCell ref="B154:D154"/>
    <mergeCell ref="B155:H155"/>
    <mergeCell ref="B176:B177"/>
    <mergeCell ref="C176:G176"/>
    <mergeCell ref="B182:D182"/>
    <mergeCell ref="B183:H183"/>
    <mergeCell ref="B184:B185"/>
    <mergeCell ref="C184:G184"/>
    <mergeCell ref="B166:D166"/>
    <mergeCell ref="B167:H167"/>
    <mergeCell ref="B168:B169"/>
    <mergeCell ref="C168:G168"/>
    <mergeCell ref="B174:D174"/>
    <mergeCell ref="B175:H175"/>
    <mergeCell ref="B200:B201"/>
    <mergeCell ref="C200:G200"/>
    <mergeCell ref="B205:D205"/>
    <mergeCell ref="B206:H206"/>
    <mergeCell ref="B207:B208"/>
    <mergeCell ref="C207:G207"/>
    <mergeCell ref="B189:D189"/>
    <mergeCell ref="B190:H190"/>
    <mergeCell ref="B191:B192"/>
    <mergeCell ref="C191:G191"/>
    <mergeCell ref="B198:D198"/>
    <mergeCell ref="B199:H199"/>
    <mergeCell ref="B221:B222"/>
    <mergeCell ref="C221:G221"/>
    <mergeCell ref="B226:D226"/>
    <mergeCell ref="B227:H227"/>
    <mergeCell ref="B228:B229"/>
    <mergeCell ref="C228:G228"/>
    <mergeCell ref="B212:D212"/>
    <mergeCell ref="B213:H213"/>
    <mergeCell ref="B214:B215"/>
    <mergeCell ref="C214:G214"/>
    <mergeCell ref="B219:D219"/>
    <mergeCell ref="B220:H220"/>
    <mergeCell ref="B243:B244"/>
    <mergeCell ref="C243:G243"/>
    <mergeCell ref="B248:D248"/>
    <mergeCell ref="B249:H249"/>
    <mergeCell ref="B250:B251"/>
    <mergeCell ref="C250:G250"/>
    <mergeCell ref="B234:D234"/>
    <mergeCell ref="B235:H235"/>
    <mergeCell ref="B236:B237"/>
    <mergeCell ref="C236:G236"/>
    <mergeCell ref="B241:D241"/>
    <mergeCell ref="B242:H242"/>
    <mergeCell ref="B265:B266"/>
    <mergeCell ref="C265:G265"/>
    <mergeCell ref="B271:D271"/>
    <mergeCell ref="B272:H272"/>
    <mergeCell ref="B273:B274"/>
    <mergeCell ref="C273:G273"/>
    <mergeCell ref="B255:D255"/>
    <mergeCell ref="B256:H256"/>
    <mergeCell ref="B257:B258"/>
    <mergeCell ref="C257:G257"/>
    <mergeCell ref="B263:D263"/>
    <mergeCell ref="B264:H264"/>
    <mergeCell ref="B288:B289"/>
    <mergeCell ref="C288:G288"/>
    <mergeCell ref="B294:D294"/>
    <mergeCell ref="B295:H295"/>
    <mergeCell ref="B296:B297"/>
    <mergeCell ref="C296:G296"/>
    <mergeCell ref="B278:D278"/>
    <mergeCell ref="B279:H279"/>
    <mergeCell ref="B280:B281"/>
    <mergeCell ref="C280:G280"/>
    <mergeCell ref="B286:D286"/>
    <mergeCell ref="B287:H287"/>
    <mergeCell ref="B312:B313"/>
    <mergeCell ref="C312:G312"/>
    <mergeCell ref="B318:D318"/>
    <mergeCell ref="B319:H319"/>
    <mergeCell ref="B320:B321"/>
    <mergeCell ref="C320:G320"/>
    <mergeCell ref="B302:D302"/>
    <mergeCell ref="B303:H303"/>
    <mergeCell ref="B304:B305"/>
    <mergeCell ref="C304:G304"/>
    <mergeCell ref="B310:D310"/>
    <mergeCell ref="B311:H311"/>
    <mergeCell ref="B336:B337"/>
    <mergeCell ref="C336:G336"/>
    <mergeCell ref="B342:D342"/>
    <mergeCell ref="B343:H343"/>
    <mergeCell ref="B344:B345"/>
    <mergeCell ref="C344:G344"/>
    <mergeCell ref="B326:D326"/>
    <mergeCell ref="B327:H327"/>
    <mergeCell ref="B328:B329"/>
    <mergeCell ref="C328:G328"/>
    <mergeCell ref="B334:D334"/>
    <mergeCell ref="B335:H335"/>
    <mergeCell ref="B466:H466"/>
    <mergeCell ref="B349:D349"/>
    <mergeCell ref="B350:H350"/>
    <mergeCell ref="B356:D356"/>
    <mergeCell ref="B357:H357"/>
    <mergeCell ref="B358:B359"/>
    <mergeCell ref="C358:G358"/>
    <mergeCell ref="B363:D363"/>
    <mergeCell ref="B364:H364"/>
    <mergeCell ref="B365:B366"/>
    <mergeCell ref="C365:G365"/>
    <mergeCell ref="B370:D370"/>
    <mergeCell ref="B372:B373"/>
    <mergeCell ref="B462:D462"/>
    <mergeCell ref="B406:D406"/>
    <mergeCell ref="B407:H407"/>
    <mergeCell ref="B408:B409"/>
    <mergeCell ref="C408:G408"/>
    <mergeCell ref="B433:D433"/>
    <mergeCell ref="B434:H434"/>
    <mergeCell ref="B435:B436"/>
    <mergeCell ref="C435:G435"/>
    <mergeCell ref="B444:D444"/>
    <mergeCell ref="B351:B352"/>
  </mergeCells>
  <conditionalFormatting sqref="B103:F104 F170:F172">
    <cfRule type="expression" dxfId="201" priority="223" stopIfTrue="1">
      <formula>AND($A103&lt;&gt;"COMPOSIÇÃO",$A103&lt;&gt;"INSUMO",$A103&lt;&gt;"")</formula>
    </cfRule>
    <cfRule type="expression" dxfId="200" priority="224" stopIfTrue="1">
      <formula>AND(OR($A103="COMPOSIÇÃO",$A103="INSUMO",$A103&lt;&gt;""),$A103&lt;&gt;"")</formula>
    </cfRule>
  </conditionalFormatting>
  <conditionalFormatting sqref="B105:F105">
    <cfRule type="expression" dxfId="199" priority="221" stopIfTrue="1">
      <formula>AND($A105&lt;&gt;"COMPOSIÇÃO",$A105&lt;&gt;"INSUMO",$A105&lt;&gt;"")</formula>
    </cfRule>
    <cfRule type="expression" dxfId="198" priority="222" stopIfTrue="1">
      <formula>AND(OR($A105="COMPOSIÇÃO",$A105="INSUMO",$A105&lt;&gt;""),$A105&lt;&gt;"")</formula>
    </cfRule>
  </conditionalFormatting>
  <conditionalFormatting sqref="B92:F96">
    <cfRule type="expression" dxfId="197" priority="219" stopIfTrue="1">
      <formula>AND($A92&lt;&gt;"COMPOSIÇÃO",$A92&lt;&gt;"INSUMO",$A92&lt;&gt;"")</formula>
    </cfRule>
    <cfRule type="expression" dxfId="196" priority="220" stopIfTrue="1">
      <formula>AND(OR($A92="COMPOSIÇÃO",$A92="INSUMO",$A92&lt;&gt;""),$A92&lt;&gt;"")</formula>
    </cfRule>
  </conditionalFormatting>
  <conditionalFormatting sqref="F90:F91">
    <cfRule type="expression" dxfId="195" priority="217" stopIfTrue="1">
      <formula>AND($A90&lt;&gt;"COMPOSIÇÃO",$A90&lt;&gt;"INSUMO",$A90&lt;&gt;"")</formula>
    </cfRule>
    <cfRule type="expression" dxfId="194" priority="218" stopIfTrue="1">
      <formula>AND(OR($A90="COMPOSIÇÃO",$A90="INSUMO",$A90&lt;&gt;""),$A90&lt;&gt;"")</formula>
    </cfRule>
  </conditionalFormatting>
  <conditionalFormatting sqref="F121:F122">
    <cfRule type="expression" dxfId="193" priority="215" stopIfTrue="1">
      <formula>AND($A121&lt;&gt;"COMPOSIÇÃO",$A121&lt;&gt;"INSUMO",$A121&lt;&gt;"")</formula>
    </cfRule>
    <cfRule type="expression" dxfId="192" priority="216" stopIfTrue="1">
      <formula>AND(OR($A121="COMPOSIÇÃO",$A121="INSUMO",$A121&lt;&gt;""),$A121&lt;&gt;"")</formula>
    </cfRule>
  </conditionalFormatting>
  <conditionalFormatting sqref="B123:F125">
    <cfRule type="expression" dxfId="191" priority="213" stopIfTrue="1">
      <formula>AND($A123&lt;&gt;"COMPOSIÇÃO",$A123&lt;&gt;"INSUMO",$A123&lt;&gt;"")</formula>
    </cfRule>
    <cfRule type="expression" dxfId="190" priority="214" stopIfTrue="1">
      <formula>AND(OR($A123="COMPOSIÇÃO",$A123="INSUMO",$A123&lt;&gt;""),$A123&lt;&gt;"")</formula>
    </cfRule>
  </conditionalFormatting>
  <conditionalFormatting sqref="B132:F135 B136 E136:F136">
    <cfRule type="expression" dxfId="189" priority="205" stopIfTrue="1">
      <formula>AND($A132&lt;&gt;"COMPOSIÇÃO",$A132&lt;&gt;"INSUMO",$A132&lt;&gt;"")</formula>
    </cfRule>
    <cfRule type="expression" dxfId="188" priority="206" stopIfTrue="1">
      <formula>AND(OR($A132="COMPOSIÇÃO",$A132="INSUMO",$A132&lt;&gt;""),$A132&lt;&gt;"")</formula>
    </cfRule>
  </conditionalFormatting>
  <conditionalFormatting sqref="B112:F116">
    <cfRule type="expression" dxfId="187" priority="209" stopIfTrue="1">
      <formula>AND($A112&lt;&gt;"COMPOSICAO",$A112&lt;&gt;"INSUMO",$A112&lt;&gt;"")</formula>
    </cfRule>
    <cfRule type="expression" dxfId="186" priority="210" stopIfTrue="1">
      <formula>AND(OR($A112="COMPOSICAO",$A112="INSUMO",$A112&lt;&gt;""),$A112&lt;&gt;"")</formula>
    </cfRule>
  </conditionalFormatting>
  <conditionalFormatting sqref="C110:F111">
    <cfRule type="expression" dxfId="185" priority="211" stopIfTrue="1">
      <formula>AND($A110&lt;&gt;"COMPOSICAO",$A110&lt;&gt;"INSUMO",$A110&lt;&gt;"")</formula>
    </cfRule>
    <cfRule type="expression" dxfId="184" priority="212" stopIfTrue="1">
      <formula>AND(OR($A110="COMPOSICAO",$A110="INSUMO",$A110&lt;&gt;""),$A110&lt;&gt;"")</formula>
    </cfRule>
  </conditionalFormatting>
  <conditionalFormatting sqref="C130:F131">
    <cfRule type="expression" dxfId="183" priority="207" stopIfTrue="1">
      <formula>AND($A130&lt;&gt;"COMPOSIÇÃO",$A130&lt;&gt;"INSUMO",$A130&lt;&gt;"")</formula>
    </cfRule>
    <cfRule type="expression" dxfId="182" priority="208" stopIfTrue="1">
      <formula>AND(OR($A130="COMPOSIÇÃO",$A130="INSUMO",$A130&lt;&gt;""),$A130&lt;&gt;"")</formula>
    </cfRule>
  </conditionalFormatting>
  <conditionalFormatting sqref="B143:F146 B147 E147:F147">
    <cfRule type="expression" dxfId="181" priority="203" stopIfTrue="1">
      <formula>AND($A143&lt;&gt;"COMPOSIÇÃO",$A143&lt;&gt;"INSUMO",$A143&lt;&gt;"")</formula>
    </cfRule>
    <cfRule type="expression" dxfId="180" priority="204" stopIfTrue="1">
      <formula>AND(OR($A143="COMPOSIÇÃO",$A143="INSUMO",$A143&lt;&gt;""),$A143&lt;&gt;"")</formula>
    </cfRule>
  </conditionalFormatting>
  <conditionalFormatting sqref="F141:F142">
    <cfRule type="expression" dxfId="179" priority="201" stopIfTrue="1">
      <formula>AND($A141&lt;&gt;"COMPOSIÇÃO",$A141&lt;&gt;"INSUMO",$A141&lt;&gt;"")</formula>
    </cfRule>
    <cfRule type="expression" dxfId="178" priority="202" stopIfTrue="1">
      <formula>AND(OR($A141="COMPOSIÇÃO",$A141="INSUMO",$A141&lt;&gt;""),$A141&lt;&gt;"")</formula>
    </cfRule>
  </conditionalFormatting>
  <conditionalFormatting sqref="F178:F179 F181">
    <cfRule type="expression" dxfId="177" priority="199" stopIfTrue="1">
      <formula>AND($A178&lt;&gt;"COMPOSIÇÃO",$A178&lt;&gt;"INSUMO",$A178&lt;&gt;"")</formula>
    </cfRule>
    <cfRule type="expression" dxfId="176" priority="200" stopIfTrue="1">
      <formula>AND(OR($A178="COMPOSIÇÃO",$A178="INSUMO",$A178&lt;&gt;""),$A178&lt;&gt;"")</formula>
    </cfRule>
  </conditionalFormatting>
  <conditionalFormatting sqref="F180">
    <cfRule type="expression" dxfId="175" priority="197" stopIfTrue="1">
      <formula>AND($A180&lt;&gt;"COMPOSIÇÃO",$A180&lt;&gt;"INSUMO",$A180&lt;&gt;"")</formula>
    </cfRule>
    <cfRule type="expression" dxfId="174" priority="198" stopIfTrue="1">
      <formula>AND(OR($A180="COMPOSIÇÃO",$A180="INSUMO",$A180&lt;&gt;""),$A180&lt;&gt;"")</formula>
    </cfRule>
  </conditionalFormatting>
  <conditionalFormatting sqref="F186:F187">
    <cfRule type="expression" dxfId="173" priority="195" stopIfTrue="1">
      <formula>AND($A186&lt;&gt;"COMPOSIÇÃO",$A186&lt;&gt;"INSUMO",$A186&lt;&gt;"")</formula>
    </cfRule>
    <cfRule type="expression" dxfId="172" priority="196" stopIfTrue="1">
      <formula>AND(OR($A186="COMPOSIÇÃO",$A186="INSUMO",$A186&lt;&gt;""),$A186&lt;&gt;"")</formula>
    </cfRule>
  </conditionalFormatting>
  <conditionalFormatting sqref="F188">
    <cfRule type="expression" dxfId="171" priority="193" stopIfTrue="1">
      <formula>AND($A188&lt;&gt;"COMPOSIÇÃO",$A188&lt;&gt;"INSUMO",$A188&lt;&gt;"")</formula>
    </cfRule>
    <cfRule type="expression" dxfId="170" priority="194" stopIfTrue="1">
      <formula>AND(OR($A188="COMPOSIÇÃO",$A188="INSUMO",$A188&lt;&gt;""),$A188&lt;&gt;"")</formula>
    </cfRule>
  </conditionalFormatting>
  <conditionalFormatting sqref="F193:F194">
    <cfRule type="expression" dxfId="169" priority="191" stopIfTrue="1">
      <formula>AND($A193&lt;&gt;"COMPOSIÇÃO",$A193&lt;&gt;"INSUMO",$A193&lt;&gt;"")</formula>
    </cfRule>
    <cfRule type="expression" dxfId="168" priority="192" stopIfTrue="1">
      <formula>AND(OR($A193="COMPOSIÇÃO",$A193="INSUMO",$A193&lt;&gt;""),$A193&lt;&gt;"")</formula>
    </cfRule>
  </conditionalFormatting>
  <conditionalFormatting sqref="F197">
    <cfRule type="expression" dxfId="167" priority="189" stopIfTrue="1">
      <formula>AND($A197&lt;&gt;"COMPOSIÇÃO",$A197&lt;&gt;"INSUMO",$A197&lt;&gt;"")</formula>
    </cfRule>
    <cfRule type="expression" dxfId="166" priority="190" stopIfTrue="1">
      <formula>AND(OR($A197="COMPOSIÇÃO",$A197="INSUMO",$A197&lt;&gt;""),$A197&lt;&gt;"")</formula>
    </cfRule>
  </conditionalFormatting>
  <conditionalFormatting sqref="F202:F204">
    <cfRule type="expression" dxfId="165" priority="187" stopIfTrue="1">
      <formula>AND($A202&lt;&gt;"COMPOSIÇÃO",$A202&lt;&gt;"INSUMO",$A202&lt;&gt;"")</formula>
    </cfRule>
    <cfRule type="expression" dxfId="164" priority="188" stopIfTrue="1">
      <formula>AND(OR($A202="COMPOSIÇÃO",$A202="INSUMO",$A202&lt;&gt;""),$A202&lt;&gt;"")</formula>
    </cfRule>
  </conditionalFormatting>
  <conditionalFormatting sqref="F209:F211">
    <cfRule type="expression" dxfId="163" priority="185" stopIfTrue="1">
      <formula>AND($A209&lt;&gt;"COMPOSIÇÃO",$A209&lt;&gt;"INSUMO",$A209&lt;&gt;"")</formula>
    </cfRule>
    <cfRule type="expression" dxfId="162" priority="186" stopIfTrue="1">
      <formula>AND(OR($A209="COMPOSIÇÃO",$A209="INSUMO",$A209&lt;&gt;""),$A209&lt;&gt;"")</formula>
    </cfRule>
  </conditionalFormatting>
  <conditionalFormatting sqref="F216:F218">
    <cfRule type="expression" dxfId="161" priority="183" stopIfTrue="1">
      <formula>AND($A216&lt;&gt;"COMPOSIÇÃO",$A216&lt;&gt;"INSUMO",$A216&lt;&gt;"")</formula>
    </cfRule>
    <cfRule type="expression" dxfId="160" priority="184" stopIfTrue="1">
      <formula>AND(OR($A216="COMPOSIÇÃO",$A216="INSUMO",$A216&lt;&gt;""),$A216&lt;&gt;"")</formula>
    </cfRule>
  </conditionalFormatting>
  <conditionalFormatting sqref="F223:F225">
    <cfRule type="expression" dxfId="159" priority="181" stopIfTrue="1">
      <formula>AND($A223&lt;&gt;"COMPOSIÇÃO",$A223&lt;&gt;"INSUMO",$A223&lt;&gt;"")</formula>
    </cfRule>
    <cfRule type="expression" dxfId="158" priority="182" stopIfTrue="1">
      <formula>AND(OR($A223="COMPOSIÇÃO",$A223="INSUMO",$A223&lt;&gt;""),$A223&lt;&gt;"")</formula>
    </cfRule>
  </conditionalFormatting>
  <conditionalFormatting sqref="F230:F233">
    <cfRule type="expression" dxfId="157" priority="179" stopIfTrue="1">
      <formula>AND($A230&lt;&gt;"COMPOSIÇÃO",$A230&lt;&gt;"INSUMO",$A230&lt;&gt;"")</formula>
    </cfRule>
    <cfRule type="expression" dxfId="156" priority="180" stopIfTrue="1">
      <formula>AND(OR($A230="COMPOSIÇÃO",$A230="INSUMO",$A230&lt;&gt;""),$A230&lt;&gt;"")</formula>
    </cfRule>
  </conditionalFormatting>
  <conditionalFormatting sqref="F238:F239">
    <cfRule type="expression" dxfId="155" priority="177" stopIfTrue="1">
      <formula>AND($A238&lt;&gt;"COMPOSICAO",$A238&lt;&gt;"INSUMO",$A238&lt;&gt;"")</formula>
    </cfRule>
    <cfRule type="expression" dxfId="154" priority="178" stopIfTrue="1">
      <formula>AND(OR($A238="COMPOSICAO",$A238="INSUMO",$A238&lt;&gt;""),$A238&lt;&gt;"")</formula>
    </cfRule>
  </conditionalFormatting>
  <conditionalFormatting sqref="C240:F240">
    <cfRule type="expression" dxfId="153" priority="175" stopIfTrue="1">
      <formula>AND($A240&lt;&gt;"COMPOSICAO",$A240&lt;&gt;"INSUMO",$A240&lt;&gt;"")</formula>
    </cfRule>
    <cfRule type="expression" dxfId="152" priority="176" stopIfTrue="1">
      <formula>AND(OR($A240="COMPOSICAO",$A240="INSUMO",$A240&lt;&gt;""),$A240&lt;&gt;"")</formula>
    </cfRule>
  </conditionalFormatting>
  <conditionalFormatting sqref="F245:F246">
    <cfRule type="expression" dxfId="151" priority="173" stopIfTrue="1">
      <formula>AND($A245&lt;&gt;"COMPOSICAO",$A245&lt;&gt;"INSUMO",$A245&lt;&gt;"")</formula>
    </cfRule>
    <cfRule type="expression" dxfId="150" priority="174" stopIfTrue="1">
      <formula>AND(OR($A245="COMPOSICAO",$A245="INSUMO",$A245&lt;&gt;""),$A245&lt;&gt;"")</formula>
    </cfRule>
  </conditionalFormatting>
  <conditionalFormatting sqref="C247:D247">
    <cfRule type="expression" dxfId="149" priority="171" stopIfTrue="1">
      <formula>AND($A247&lt;&gt;"COMPOSICAO",$A247&lt;&gt;"INSUMO",$A247&lt;&gt;"")</formula>
    </cfRule>
    <cfRule type="expression" dxfId="148" priority="172" stopIfTrue="1">
      <formula>AND(OR($A247="COMPOSICAO",$A247="INSUMO",$A247&lt;&gt;""),$A247&lt;&gt;"")</formula>
    </cfRule>
  </conditionalFormatting>
  <conditionalFormatting sqref="B195:F196">
    <cfRule type="expression" dxfId="147" priority="169" stopIfTrue="1">
      <formula>AND($A195&lt;&gt;"COMPOSICAO",$A195&lt;&gt;"INSUMO",$A195&lt;&gt;"")</formula>
    </cfRule>
    <cfRule type="expression" dxfId="146" priority="170" stopIfTrue="1">
      <formula>AND(OR($A195="COMPOSICAO",$A195="INSUMO",$A195&lt;&gt;""),$A195&lt;&gt;"")</formula>
    </cfRule>
  </conditionalFormatting>
  <conditionalFormatting sqref="F252:F253">
    <cfRule type="expression" dxfId="145" priority="167" stopIfTrue="1">
      <formula>AND($A252&lt;&gt;"COMPOSICAO",$A252&lt;&gt;"INSUMO",$A252&lt;&gt;"")</formula>
    </cfRule>
    <cfRule type="expression" dxfId="144" priority="168" stopIfTrue="1">
      <formula>AND(OR($A252="COMPOSICAO",$A252="INSUMO",$A252&lt;&gt;""),$A252&lt;&gt;"")</formula>
    </cfRule>
  </conditionalFormatting>
  <conditionalFormatting sqref="C254:D254">
    <cfRule type="expression" dxfId="143" priority="165" stopIfTrue="1">
      <formula>AND($A254&lt;&gt;"COMPOSICAO",$A254&lt;&gt;"INSUMO",$A254&lt;&gt;"")</formula>
    </cfRule>
    <cfRule type="expression" dxfId="142" priority="166" stopIfTrue="1">
      <formula>AND(OR($A254="COMPOSICAO",$A254="INSUMO",$A254&lt;&gt;""),$A254&lt;&gt;"")</formula>
    </cfRule>
  </conditionalFormatting>
  <conditionalFormatting sqref="F247">
    <cfRule type="expression" dxfId="141" priority="163" stopIfTrue="1">
      <formula>AND($A247&lt;&gt;"COMPOSIÇÃO",$A247&lt;&gt;"INSUMO",$A247&lt;&gt;"")</formula>
    </cfRule>
    <cfRule type="expression" dxfId="140" priority="164" stopIfTrue="1">
      <formula>AND(OR($A247="COMPOSIÇÃO",$A247="INSUMO",$A247&lt;&gt;""),$A247&lt;&gt;"")</formula>
    </cfRule>
  </conditionalFormatting>
  <conditionalFormatting sqref="F254">
    <cfRule type="expression" dxfId="139" priority="161" stopIfTrue="1">
      <formula>AND($A254&lt;&gt;"COMPOSIÇÃO",$A254&lt;&gt;"INSUMO",$A254&lt;&gt;"")</formula>
    </cfRule>
    <cfRule type="expression" dxfId="138" priority="162" stopIfTrue="1">
      <formula>AND(OR($A254="COMPOSIÇÃO",$A254="INSUMO",$A254&lt;&gt;""),$A254&lt;&gt;"")</formula>
    </cfRule>
  </conditionalFormatting>
  <conditionalFormatting sqref="F262">
    <cfRule type="expression" dxfId="137" priority="159" stopIfTrue="1">
      <formula>AND($A262&lt;&gt;"COMPOSIÇÃO",$A262&lt;&gt;"INSUMO",$A262&lt;&gt;"")</formula>
    </cfRule>
    <cfRule type="expression" dxfId="136" priority="160" stopIfTrue="1">
      <formula>AND(OR($A262="COMPOSIÇÃO",$A262="INSUMO",$A262&lt;&gt;""),$A262&lt;&gt;"")</formula>
    </cfRule>
  </conditionalFormatting>
  <conditionalFormatting sqref="F259:F260">
    <cfRule type="expression" dxfId="135" priority="157" stopIfTrue="1">
      <formula>AND($A259&lt;&gt;"COMPOSICAO",$A259&lt;&gt;"INSUMO",$A259&lt;&gt;"")</formula>
    </cfRule>
    <cfRule type="expression" dxfId="134" priority="158" stopIfTrue="1">
      <formula>AND(OR($A259="COMPOSICAO",$A259="INSUMO",$A259&lt;&gt;""),$A259&lt;&gt;"")</formula>
    </cfRule>
  </conditionalFormatting>
  <conditionalFormatting sqref="B261:F261">
    <cfRule type="expression" dxfId="133" priority="155" stopIfTrue="1">
      <formula>AND($A261&lt;&gt;"COMPOSICAO",$A261&lt;&gt;"INSUMO",$A261&lt;&gt;"")</formula>
    </cfRule>
    <cfRule type="expression" dxfId="132" priority="156" stopIfTrue="1">
      <formula>AND(OR($A261="COMPOSICAO",$A261="INSUMO",$A261&lt;&gt;""),$A261&lt;&gt;"")</formula>
    </cfRule>
  </conditionalFormatting>
  <conditionalFormatting sqref="F270">
    <cfRule type="expression" dxfId="131" priority="153" stopIfTrue="1">
      <formula>AND($A270&lt;&gt;"COMPOSIÇÃO",$A270&lt;&gt;"INSUMO",$A270&lt;&gt;"")</formula>
    </cfRule>
    <cfRule type="expression" dxfId="130" priority="154" stopIfTrue="1">
      <formula>AND(OR($A270="COMPOSIÇÃO",$A270="INSUMO",$A270&lt;&gt;""),$A270&lt;&gt;"")</formula>
    </cfRule>
  </conditionalFormatting>
  <conditionalFormatting sqref="F267:F268">
    <cfRule type="expression" dxfId="129" priority="151" stopIfTrue="1">
      <formula>AND($A267&lt;&gt;"COMPOSICAO",$A267&lt;&gt;"INSUMO",$A267&lt;&gt;"")</formula>
    </cfRule>
    <cfRule type="expression" dxfId="128" priority="152" stopIfTrue="1">
      <formula>AND(OR($A267="COMPOSICAO",$A267="INSUMO",$A267&lt;&gt;""),$A267&lt;&gt;"")</formula>
    </cfRule>
  </conditionalFormatting>
  <conditionalFormatting sqref="B269:F269">
    <cfRule type="expression" dxfId="127" priority="149" stopIfTrue="1">
      <formula>AND($A269&lt;&gt;"COMPOSICAO",$A269&lt;&gt;"INSUMO",$A269&lt;&gt;"")</formula>
    </cfRule>
    <cfRule type="expression" dxfId="126" priority="150" stopIfTrue="1">
      <formula>AND(OR($A269="COMPOSICAO",$A269="INSUMO",$A269&lt;&gt;""),$A269&lt;&gt;"")</formula>
    </cfRule>
  </conditionalFormatting>
  <conditionalFormatting sqref="F277">
    <cfRule type="expression" dxfId="125" priority="147" stopIfTrue="1">
      <formula>AND($A277&lt;&gt;"COMPOSIÇÃO",$A277&lt;&gt;"INSUMO",$A277&lt;&gt;"")</formula>
    </cfRule>
    <cfRule type="expression" dxfId="124" priority="148" stopIfTrue="1">
      <formula>AND(OR($A277="COMPOSIÇÃO",$A277="INSUMO",$A277&lt;&gt;""),$A277&lt;&gt;"")</formula>
    </cfRule>
  </conditionalFormatting>
  <conditionalFormatting sqref="F275:F276">
    <cfRule type="expression" dxfId="123" priority="145" stopIfTrue="1">
      <formula>AND($A275&lt;&gt;"COMPOSICAO",$A275&lt;&gt;"INSUMO",$A275&lt;&gt;"")</formula>
    </cfRule>
    <cfRule type="expression" dxfId="122" priority="146" stopIfTrue="1">
      <formula>AND(OR($A275="COMPOSICAO",$A275="INSUMO",$A275&lt;&gt;""),$A275&lt;&gt;"")</formula>
    </cfRule>
  </conditionalFormatting>
  <conditionalFormatting sqref="F285">
    <cfRule type="expression" dxfId="121" priority="143" stopIfTrue="1">
      <formula>AND($A285&lt;&gt;"COMPOSIÇÃO",$A285&lt;&gt;"INSUMO",$A285&lt;&gt;"")</formula>
    </cfRule>
    <cfRule type="expression" dxfId="120" priority="144" stopIfTrue="1">
      <formula>AND(OR($A285="COMPOSIÇÃO",$A285="INSUMO",$A285&lt;&gt;""),$A285&lt;&gt;"")</formula>
    </cfRule>
  </conditionalFormatting>
  <conditionalFormatting sqref="F282:F283">
    <cfRule type="expression" dxfId="119" priority="141" stopIfTrue="1">
      <formula>AND($A282&lt;&gt;"COMPOSICAO",$A282&lt;&gt;"INSUMO",$A282&lt;&gt;"")</formula>
    </cfRule>
    <cfRule type="expression" dxfId="118" priority="142" stopIfTrue="1">
      <formula>AND(OR($A282="COMPOSICAO",$A282="INSUMO",$A282&lt;&gt;""),$A282&lt;&gt;"")</formula>
    </cfRule>
  </conditionalFormatting>
  <conditionalFormatting sqref="B284:F284">
    <cfRule type="expression" dxfId="117" priority="139" stopIfTrue="1">
      <formula>AND($A284&lt;&gt;"COMPOSICAO",$A284&lt;&gt;"INSUMO",$A284&lt;&gt;"")</formula>
    </cfRule>
    <cfRule type="expression" dxfId="116" priority="140" stopIfTrue="1">
      <formula>AND(OR($A284="COMPOSICAO",$A284="INSUMO",$A284&lt;&gt;""),$A284&lt;&gt;"")</formula>
    </cfRule>
  </conditionalFormatting>
  <conditionalFormatting sqref="F293">
    <cfRule type="expression" dxfId="115" priority="137" stopIfTrue="1">
      <formula>AND($A293&lt;&gt;"COMPOSIÇÃO",$A293&lt;&gt;"INSUMO",$A293&lt;&gt;"")</formula>
    </cfRule>
    <cfRule type="expression" dxfId="114" priority="138" stopIfTrue="1">
      <formula>AND(OR($A293="COMPOSIÇÃO",$A293="INSUMO",$A293&lt;&gt;""),$A293&lt;&gt;"")</formula>
    </cfRule>
  </conditionalFormatting>
  <conditionalFormatting sqref="F290:F291">
    <cfRule type="expression" dxfId="113" priority="135" stopIfTrue="1">
      <formula>AND($A290&lt;&gt;"COMPOSICAO",$A290&lt;&gt;"INSUMO",$A290&lt;&gt;"")</formula>
    </cfRule>
    <cfRule type="expression" dxfId="112" priority="136" stopIfTrue="1">
      <formula>AND(OR($A290="COMPOSICAO",$A290="INSUMO",$A290&lt;&gt;""),$A290&lt;&gt;"")</formula>
    </cfRule>
  </conditionalFormatting>
  <conditionalFormatting sqref="B292:F292">
    <cfRule type="expression" dxfId="111" priority="133" stopIfTrue="1">
      <formula>AND($A292&lt;&gt;"COMPOSICAO",$A292&lt;&gt;"INSUMO",$A292&lt;&gt;"")</formula>
    </cfRule>
    <cfRule type="expression" dxfId="110" priority="134" stopIfTrue="1">
      <formula>AND(OR($A292="COMPOSICAO",$A292="INSUMO",$A292&lt;&gt;""),$A292&lt;&gt;"")</formula>
    </cfRule>
  </conditionalFormatting>
  <conditionalFormatting sqref="F301">
    <cfRule type="expression" dxfId="109" priority="131" stopIfTrue="1">
      <formula>AND($A301&lt;&gt;"COMPOSIÇÃO",$A301&lt;&gt;"INSUMO",$A301&lt;&gt;"")</formula>
    </cfRule>
    <cfRule type="expression" dxfId="108" priority="132" stopIfTrue="1">
      <formula>AND(OR($A301="COMPOSIÇÃO",$A301="INSUMO",$A301&lt;&gt;""),$A301&lt;&gt;"")</formula>
    </cfRule>
  </conditionalFormatting>
  <conditionalFormatting sqref="B300:F300">
    <cfRule type="expression" dxfId="107" priority="129" stopIfTrue="1">
      <formula>AND($A300&lt;&gt;"COMPOSICAO",$A300&lt;&gt;"INSUMO",$A300&lt;&gt;"")</formula>
    </cfRule>
    <cfRule type="expression" dxfId="106" priority="130" stopIfTrue="1">
      <formula>AND(OR($A300="COMPOSICAO",$A300="INSUMO",$A300&lt;&gt;""),$A300&lt;&gt;"")</formula>
    </cfRule>
  </conditionalFormatting>
  <conditionalFormatting sqref="F298:F299">
    <cfRule type="expression" dxfId="105" priority="127" stopIfTrue="1">
      <formula>AND($A298&lt;&gt;"COMPOSICAO",$A298&lt;&gt;"INSUMO",$A298&lt;&gt;"")</formula>
    </cfRule>
    <cfRule type="expression" dxfId="104" priority="128" stopIfTrue="1">
      <formula>AND(OR($A298="COMPOSICAO",$A298="INSUMO",$A298&lt;&gt;""),$A298&lt;&gt;"")</formula>
    </cfRule>
  </conditionalFormatting>
  <conditionalFormatting sqref="F309">
    <cfRule type="expression" dxfId="103" priority="125" stopIfTrue="1">
      <formula>AND($A309&lt;&gt;"COMPOSIÇÃO",$A309&lt;&gt;"INSUMO",$A309&lt;&gt;"")</formula>
    </cfRule>
    <cfRule type="expression" dxfId="102" priority="126" stopIfTrue="1">
      <formula>AND(OR($A309="COMPOSIÇÃO",$A309="INSUMO",$A309&lt;&gt;""),$A309&lt;&gt;"")</formula>
    </cfRule>
  </conditionalFormatting>
  <conditionalFormatting sqref="B308:F308">
    <cfRule type="expression" dxfId="101" priority="123" stopIfTrue="1">
      <formula>AND($A308&lt;&gt;"COMPOSICAO",$A308&lt;&gt;"INSUMO",$A308&lt;&gt;"")</formula>
    </cfRule>
    <cfRule type="expression" dxfId="100" priority="124" stopIfTrue="1">
      <formula>AND(OR($A308="COMPOSICAO",$A308="INSUMO",$A308&lt;&gt;""),$A308&lt;&gt;"")</formula>
    </cfRule>
  </conditionalFormatting>
  <conditionalFormatting sqref="F306:F307">
    <cfRule type="expression" dxfId="99" priority="121" stopIfTrue="1">
      <formula>AND($A306&lt;&gt;"COMPOSICAO",$A306&lt;&gt;"INSUMO",$A306&lt;&gt;"")</formula>
    </cfRule>
    <cfRule type="expression" dxfId="98" priority="122" stopIfTrue="1">
      <formula>AND(OR($A306="COMPOSICAO",$A306="INSUMO",$A306&lt;&gt;""),$A306&lt;&gt;"")</formula>
    </cfRule>
  </conditionalFormatting>
  <conditionalFormatting sqref="F348">
    <cfRule type="expression" dxfId="97" priority="89" stopIfTrue="1">
      <formula>AND($A348&lt;&gt;"COMPOSIÇÃO",$A348&lt;&gt;"INSUMO",$A348&lt;&gt;"")</formula>
    </cfRule>
    <cfRule type="expression" dxfId="96" priority="90" stopIfTrue="1">
      <formula>AND(OR($A348="COMPOSIÇÃO",$A348="INSUMO",$A348&lt;&gt;""),$A348&lt;&gt;"")</formula>
    </cfRule>
  </conditionalFormatting>
  <conditionalFormatting sqref="B316:F316">
    <cfRule type="expression" dxfId="95" priority="115" stopIfTrue="1">
      <formula>AND($A316&lt;&gt;"COMPOSICAO",$A316&lt;&gt;"INSUMO",$A316&lt;&gt;"")</formula>
    </cfRule>
    <cfRule type="expression" dxfId="94" priority="116" stopIfTrue="1">
      <formula>AND(OR($A316="COMPOSICAO",$A316="INSUMO",$A316&lt;&gt;""),$A316&lt;&gt;"")</formula>
    </cfRule>
  </conditionalFormatting>
  <conditionalFormatting sqref="B340:F340">
    <cfRule type="expression" dxfId="93" priority="95" stopIfTrue="1">
      <formula>AND($A340&lt;&gt;"COMPOSICAO",$A340&lt;&gt;"INSUMO",$A340&lt;&gt;"")</formula>
    </cfRule>
    <cfRule type="expression" dxfId="92" priority="96" stopIfTrue="1">
      <formula>AND(OR($A340="COMPOSICAO",$A340="INSUMO",$A340&lt;&gt;""),$A340&lt;&gt;"")</formula>
    </cfRule>
  </conditionalFormatting>
  <conditionalFormatting sqref="F317">
    <cfRule type="expression" dxfId="91" priority="119" stopIfTrue="1">
      <formula>AND($A317&lt;&gt;"COMPOSIÇÃO",$A317&lt;&gt;"INSUMO",$A317&lt;&gt;"")</formula>
    </cfRule>
    <cfRule type="expression" dxfId="90" priority="120" stopIfTrue="1">
      <formula>AND(OR($A317="COMPOSIÇÃO",$A317="INSUMO",$A317&lt;&gt;""),$A317&lt;&gt;"")</formula>
    </cfRule>
  </conditionalFormatting>
  <conditionalFormatting sqref="F314:F315">
    <cfRule type="expression" dxfId="89" priority="117" stopIfTrue="1">
      <formula>AND($A314&lt;&gt;"COMPOSICAO",$A314&lt;&gt;"INSUMO",$A314&lt;&gt;"")</formula>
    </cfRule>
    <cfRule type="expression" dxfId="88" priority="118" stopIfTrue="1">
      <formula>AND(OR($A314="COMPOSICAO",$A314="INSUMO",$A314&lt;&gt;""),$A314&lt;&gt;"")</formula>
    </cfRule>
  </conditionalFormatting>
  <conditionalFormatting sqref="F341">
    <cfRule type="expression" dxfId="87" priority="99" stopIfTrue="1">
      <formula>AND($A341&lt;&gt;"COMPOSIÇÃO",$A341&lt;&gt;"INSUMO",$A341&lt;&gt;"")</formula>
    </cfRule>
    <cfRule type="expression" dxfId="86" priority="100" stopIfTrue="1">
      <formula>AND(OR($A341="COMPOSIÇÃO",$A341="INSUMO",$A341&lt;&gt;""),$A341&lt;&gt;"")</formula>
    </cfRule>
  </conditionalFormatting>
  <conditionalFormatting sqref="F338:F339">
    <cfRule type="expression" dxfId="85" priority="97" stopIfTrue="1">
      <formula>AND($A338&lt;&gt;"COMPOSICAO",$A338&lt;&gt;"INSUMO",$A338&lt;&gt;"")</formula>
    </cfRule>
    <cfRule type="expression" dxfId="84" priority="98" stopIfTrue="1">
      <formula>AND(OR($A338="COMPOSICAO",$A338="INSUMO",$A338&lt;&gt;""),$A338&lt;&gt;"")</formula>
    </cfRule>
  </conditionalFormatting>
  <conditionalFormatting sqref="C348:D348">
    <cfRule type="expression" dxfId="83" priority="91" stopIfTrue="1">
      <formula>AND($A348&lt;&gt;"COMPOSICAO",$A348&lt;&gt;"INSUMO",$A348&lt;&gt;"")</formula>
    </cfRule>
    <cfRule type="expression" dxfId="82" priority="92" stopIfTrue="1">
      <formula>AND(OR($A348="COMPOSICAO",$A348="INSUMO",$A348&lt;&gt;""),$A348&lt;&gt;"")</formula>
    </cfRule>
  </conditionalFormatting>
  <conditionalFormatting sqref="B324:F324">
    <cfRule type="expression" dxfId="81" priority="109" stopIfTrue="1">
      <formula>AND($A324&lt;&gt;"COMPOSICAO",$A324&lt;&gt;"INSUMO",$A324&lt;&gt;"")</formula>
    </cfRule>
    <cfRule type="expression" dxfId="80" priority="110" stopIfTrue="1">
      <formula>AND(OR($A324="COMPOSICAO",$A324="INSUMO",$A324&lt;&gt;""),$A324&lt;&gt;"")</formula>
    </cfRule>
  </conditionalFormatting>
  <conditionalFormatting sqref="F325">
    <cfRule type="expression" dxfId="79" priority="113" stopIfTrue="1">
      <formula>AND($A325&lt;&gt;"COMPOSIÇÃO",$A325&lt;&gt;"INSUMO",$A325&lt;&gt;"")</formula>
    </cfRule>
    <cfRule type="expression" dxfId="78" priority="114" stopIfTrue="1">
      <formula>AND(OR($A325="COMPOSIÇÃO",$A325="INSUMO",$A325&lt;&gt;""),$A325&lt;&gt;"")</formula>
    </cfRule>
  </conditionalFormatting>
  <conditionalFormatting sqref="F322:F323">
    <cfRule type="expression" dxfId="77" priority="111" stopIfTrue="1">
      <formula>AND($A322&lt;&gt;"COMPOSICAO",$A322&lt;&gt;"INSUMO",$A322&lt;&gt;"")</formula>
    </cfRule>
    <cfRule type="expression" dxfId="76" priority="112" stopIfTrue="1">
      <formula>AND(OR($A322="COMPOSICAO",$A322="INSUMO",$A322&lt;&gt;""),$A322&lt;&gt;"")</formula>
    </cfRule>
  </conditionalFormatting>
  <conditionalFormatting sqref="F333">
    <cfRule type="expression" dxfId="75" priority="107" stopIfTrue="1">
      <formula>AND($A333&lt;&gt;"COMPOSIÇÃO",$A333&lt;&gt;"INSUMO",$A333&lt;&gt;"")</formula>
    </cfRule>
    <cfRule type="expression" dxfId="74" priority="108" stopIfTrue="1">
      <formula>AND(OR($A333="COMPOSIÇÃO",$A333="INSUMO",$A333&lt;&gt;""),$A333&lt;&gt;"")</formula>
    </cfRule>
  </conditionalFormatting>
  <conditionalFormatting sqref="F330:F331">
    <cfRule type="expression" dxfId="73" priority="105" stopIfTrue="1">
      <formula>AND($A330&lt;&gt;"COMPOSICAO",$A330&lt;&gt;"INSUMO",$A330&lt;&gt;"")</formula>
    </cfRule>
    <cfRule type="expression" dxfId="72" priority="106" stopIfTrue="1">
      <formula>AND(OR($A330="COMPOSICAO",$A330="INSUMO",$A330&lt;&gt;""),$A330&lt;&gt;"")</formula>
    </cfRule>
  </conditionalFormatting>
  <conditionalFormatting sqref="B332">
    <cfRule type="expression" dxfId="71" priority="103" stopIfTrue="1">
      <formula>AND($A332&lt;&gt;"COMPOSICAO",$A332&lt;&gt;"INSUMO",$A332&lt;&gt;"")</formula>
    </cfRule>
    <cfRule type="expression" dxfId="70" priority="104" stopIfTrue="1">
      <formula>AND(OR($A332="COMPOSICAO",$A332="INSUMO",$A332&lt;&gt;""),$A332&lt;&gt;"")</formula>
    </cfRule>
  </conditionalFormatting>
  <conditionalFormatting sqref="C332:F332">
    <cfRule type="expression" dxfId="69" priority="101" stopIfTrue="1">
      <formula>AND($A332&lt;&gt;"COMPOSICAO",$A332&lt;&gt;"INSUMO",$A332&lt;&gt;"")</formula>
    </cfRule>
    <cfRule type="expression" dxfId="68" priority="102" stopIfTrue="1">
      <formula>AND(OR($A332="COMPOSICAO",$A332="INSUMO",$A332&lt;&gt;""),$A332&lt;&gt;"")</formula>
    </cfRule>
  </conditionalFormatting>
  <conditionalFormatting sqref="F346:F347">
    <cfRule type="expression" dxfId="67" priority="93" stopIfTrue="1">
      <formula>AND($A346&lt;&gt;"COMPOSICAO",$A346&lt;&gt;"INSUMO",$A346&lt;&gt;"")</formula>
    </cfRule>
    <cfRule type="expression" dxfId="66" priority="94" stopIfTrue="1">
      <formula>AND(OR($A346="COMPOSICAO",$A346="INSUMO",$A346&lt;&gt;""),$A346&lt;&gt;"")</formula>
    </cfRule>
  </conditionalFormatting>
  <conditionalFormatting sqref="F355">
    <cfRule type="expression" dxfId="65" priority="65" stopIfTrue="1">
      <formula>AND($A355&lt;&gt;"COMPOSIÇÃO",$A355&lt;&gt;"INSUMO",$A355&lt;&gt;"")</formula>
    </cfRule>
    <cfRule type="expression" dxfId="64" priority="66" stopIfTrue="1">
      <formula>AND(OR($A355="COMPOSIÇÃO",$A355="INSUMO",$A355&lt;&gt;""),$A355&lt;&gt;"")</formula>
    </cfRule>
  </conditionalFormatting>
  <conditionalFormatting sqref="C355:D355">
    <cfRule type="expression" dxfId="63" priority="63" stopIfTrue="1">
      <formula>AND($A355&lt;&gt;"COMPOSICAO",$A355&lt;&gt;"INSUMO",$A355&lt;&gt;"")</formula>
    </cfRule>
    <cfRule type="expression" dxfId="62" priority="64" stopIfTrue="1">
      <formula>AND(OR($A355="COMPOSICAO",$A355="INSUMO",$A355&lt;&gt;""),$A355&lt;&gt;"")</formula>
    </cfRule>
  </conditionalFormatting>
  <conditionalFormatting sqref="F353:F354">
    <cfRule type="expression" dxfId="61" priority="61" stopIfTrue="1">
      <formula>AND($A353&lt;&gt;"COMPOSICAO",$A353&lt;&gt;"INSUMO",$A353&lt;&gt;"")</formula>
    </cfRule>
    <cfRule type="expression" dxfId="60" priority="62" stopIfTrue="1">
      <formula>AND(OR($A353="COMPOSICAO",$A353="INSUMO",$A353&lt;&gt;""),$A353&lt;&gt;"")</formula>
    </cfRule>
  </conditionalFormatting>
  <conditionalFormatting sqref="F367:F368">
    <cfRule type="expression" dxfId="59" priority="49" stopIfTrue="1">
      <formula>AND($A367&lt;&gt;"COMPOSICAO",$A367&lt;&gt;"INSUMO",$A367&lt;&gt;"")</formula>
    </cfRule>
    <cfRule type="expression" dxfId="58" priority="50" stopIfTrue="1">
      <formula>AND(OR($A367="COMPOSICAO",$A367="INSUMO",$A367&lt;&gt;""),$A367&lt;&gt;"")</formula>
    </cfRule>
  </conditionalFormatting>
  <conditionalFormatting sqref="C369:D369">
    <cfRule type="expression" dxfId="57" priority="53" stopIfTrue="1">
      <formula>AND($A369&lt;&gt;"COMPOSICAO",$A369&lt;&gt;"INSUMO",$A369&lt;&gt;"")</formula>
    </cfRule>
    <cfRule type="expression" dxfId="56" priority="54" stopIfTrue="1">
      <formula>AND(OR($A369="COMPOSICAO",$A369="INSUMO",$A369&lt;&gt;""),$A369&lt;&gt;"")</formula>
    </cfRule>
  </conditionalFormatting>
  <conditionalFormatting sqref="F360:F361">
    <cfRule type="expression" dxfId="55" priority="55" stopIfTrue="1">
      <formula>AND($A360&lt;&gt;"COMPOSICAO",$A360&lt;&gt;"INSUMO",$A360&lt;&gt;"")</formula>
    </cfRule>
    <cfRule type="expression" dxfId="54" priority="56" stopIfTrue="1">
      <formula>AND(OR($A360="COMPOSICAO",$A360="INSUMO",$A360&lt;&gt;""),$A360&lt;&gt;"")</formula>
    </cfRule>
  </conditionalFormatting>
  <conditionalFormatting sqref="F362">
    <cfRule type="expression" dxfId="53" priority="57" stopIfTrue="1">
      <formula>AND($A362&lt;&gt;"COMPOSIÇÃO",$A362&lt;&gt;"INSUMO",$A362&lt;&gt;"")</formula>
    </cfRule>
    <cfRule type="expression" dxfId="52" priority="58" stopIfTrue="1">
      <formula>AND(OR($A362="COMPOSIÇÃO",$A362="INSUMO",$A362&lt;&gt;""),$A362&lt;&gt;"")</formula>
    </cfRule>
  </conditionalFormatting>
  <conditionalFormatting sqref="C362:D362">
    <cfRule type="expression" dxfId="51" priority="59" stopIfTrue="1">
      <formula>AND($A362&lt;&gt;"COMPOSICAO",$A362&lt;&gt;"INSUMO",$A362&lt;&gt;"")</formula>
    </cfRule>
    <cfRule type="expression" dxfId="50" priority="60" stopIfTrue="1">
      <formula>AND(OR($A362="COMPOSICAO",$A362="INSUMO",$A362&lt;&gt;""),$A362&lt;&gt;"")</formula>
    </cfRule>
  </conditionalFormatting>
  <conditionalFormatting sqref="F369">
    <cfRule type="expression" dxfId="49" priority="51" stopIfTrue="1">
      <formula>AND($A369&lt;&gt;"COMPOSIÇÃO",$A369&lt;&gt;"INSUMO",$A369&lt;&gt;"")</formula>
    </cfRule>
    <cfRule type="expression" dxfId="48" priority="52" stopIfTrue="1">
      <formula>AND(OR($A369="COMPOSIÇÃO",$A369="INSUMO",$A369&lt;&gt;""),$A369&lt;&gt;"")</formula>
    </cfRule>
  </conditionalFormatting>
  <conditionalFormatting sqref="B374:F375">
    <cfRule type="expression" dxfId="47" priority="47" stopIfTrue="1">
      <formula>AND($A374&lt;&gt;"COMPOSIÇÃO",$A374&lt;&gt;"INSUMO",$A374&lt;&gt;"")</formula>
    </cfRule>
    <cfRule type="expression" dxfId="46" priority="48" stopIfTrue="1">
      <formula>AND(OR($A374="COMPOSIÇÃO",$A374="INSUMO",$A374&lt;&gt;""),$A374&lt;&gt;"")</formula>
    </cfRule>
  </conditionalFormatting>
  <conditionalFormatting sqref="B387:F389">
    <cfRule type="expression" dxfId="45" priority="39" stopIfTrue="1">
      <formula>AND($A387&lt;&gt;"COMPOSIÇÃO",$A387&lt;&gt;"INSUMO",$A387&lt;&gt;"")</formula>
    </cfRule>
    <cfRule type="expression" dxfId="44" priority="40" stopIfTrue="1">
      <formula>AND(OR($A387="COMPOSIÇÃO",$A387="INSUMO",$A387&lt;&gt;""),$A387&lt;&gt;"")</formula>
    </cfRule>
  </conditionalFormatting>
  <conditionalFormatting sqref="C398:F405">
    <cfRule type="expression" dxfId="43" priority="35" stopIfTrue="1">
      <formula>AND($A398&lt;&gt;"COMPOSIÇÃO",$A398&lt;&gt;"INSUMO",$A398&lt;&gt;"")</formula>
    </cfRule>
    <cfRule type="expression" dxfId="42" priority="36" stopIfTrue="1">
      <formula>AND(OR($A398="COMPOSIÇÃO",$A398="INSUMO",$A398&lt;&gt;""),$A398&lt;&gt;"")</formula>
    </cfRule>
  </conditionalFormatting>
  <conditionalFormatting sqref="F412:F413">
    <cfRule type="expression" dxfId="41" priority="31" stopIfTrue="1">
      <formula>AND($A412&lt;&gt;"COMPOSIÇÃO",$A412&lt;&gt;"INSUMO",$A412&lt;&gt;"")</formula>
    </cfRule>
    <cfRule type="expression" dxfId="40" priority="32" stopIfTrue="1">
      <formula>AND(OR($A412="COMPOSIÇÃO",$A412="INSUMO",$A412&lt;&gt;""),$A412&lt;&gt;"")</formula>
    </cfRule>
  </conditionalFormatting>
  <conditionalFormatting sqref="F385:F386">
    <cfRule type="expression" dxfId="39" priority="41" stopIfTrue="1">
      <formula>AND($A385&lt;&gt;"COMPOSIÇÃO",$A385&lt;&gt;"INSUMO",$A385&lt;&gt;"")</formula>
    </cfRule>
    <cfRule type="expression" dxfId="38" priority="42" stopIfTrue="1">
      <formula>AND(OR($A385="COMPOSIÇÃO",$A385="INSUMO",$A385&lt;&gt;""),$A385&lt;&gt;"")</formula>
    </cfRule>
  </conditionalFormatting>
  <conditionalFormatting sqref="B376:F378">
    <cfRule type="expression" dxfId="37" priority="45" stopIfTrue="1">
      <formula>AND($A376&lt;&gt;"COMPOSIÇÃO",$A376&lt;&gt;"INSUMO",$A376&lt;&gt;"")</formula>
    </cfRule>
    <cfRule type="expression" dxfId="36" priority="46" stopIfTrue="1">
      <formula>AND(OR($A376="COMPOSIÇÃO",$A376="INSUMO",$A376&lt;&gt;""),$A376&lt;&gt;"")</formula>
    </cfRule>
  </conditionalFormatting>
  <conditionalFormatting sqref="B379:F379 B380 E380:F380">
    <cfRule type="expression" dxfId="35" priority="43" stopIfTrue="1">
      <formula>AND($A379&lt;&gt;"COMPOSIÇÃO",$A379&lt;&gt;"INSUMO",$A379&lt;&gt;"")</formula>
    </cfRule>
    <cfRule type="expression" dxfId="34" priority="44" stopIfTrue="1">
      <formula>AND(OR($A379="COMPOSIÇÃO",$A379="INSUMO",$A379&lt;&gt;""),$A379&lt;&gt;"")</formula>
    </cfRule>
  </conditionalFormatting>
  <conditionalFormatting sqref="F394:F397">
    <cfRule type="expression" dxfId="33" priority="33" stopIfTrue="1">
      <formula>AND($A394&lt;&gt;"COMPOSIÇÃO",$A394&lt;&gt;"INSUMO",$A394&lt;&gt;"")</formula>
    </cfRule>
    <cfRule type="expression" dxfId="32" priority="34" stopIfTrue="1">
      <formula>AND(OR($A394="COMPOSIÇÃO",$A394="INSUMO",$A394&lt;&gt;""),$A394&lt;&gt;"")</formula>
    </cfRule>
  </conditionalFormatting>
  <conditionalFormatting sqref="C380:D380">
    <cfRule type="expression" dxfId="31" priority="37" stopIfTrue="1">
      <formula>AND($A380&lt;&gt;"COMPOSIÇÃO",$A380&lt;&gt;"INSUMO",$A380&lt;&gt;"")</formula>
    </cfRule>
    <cfRule type="expression" dxfId="30" priority="38" stopIfTrue="1">
      <formula>AND(OR($A380="COMPOSIÇÃO",$A380="INSUMO",$A380&lt;&gt;""),$A380&lt;&gt;"")</formula>
    </cfRule>
  </conditionalFormatting>
  <conditionalFormatting sqref="F410:F411">
    <cfRule type="expression" dxfId="29" priority="29" stopIfTrue="1">
      <formula>AND($A410&lt;&gt;"COMPOSICAO",$A410&lt;&gt;"INSUMO",$A410&lt;&gt;"")</formula>
    </cfRule>
    <cfRule type="expression" dxfId="28" priority="30" stopIfTrue="1">
      <formula>AND(OR($A410="COMPOSICAO",$A410="INSUMO",$A410&lt;&gt;""),$A410&lt;&gt;"")</formula>
    </cfRule>
  </conditionalFormatting>
  <conditionalFormatting sqref="B439:F442 B443 E443:F443">
    <cfRule type="expression" dxfId="27" priority="25" stopIfTrue="1">
      <formula>AND($A439&lt;&gt;"COMPOSIÇÃO",$A439&lt;&gt;"INSUMO",$A439&lt;&gt;"")</formula>
    </cfRule>
    <cfRule type="expression" dxfId="26" priority="26" stopIfTrue="1">
      <formula>AND(OR($A439="COMPOSIÇÃO",$A439="INSUMO",$A439&lt;&gt;""),$A439&lt;&gt;"")</formula>
    </cfRule>
  </conditionalFormatting>
  <conditionalFormatting sqref="C437:F438">
    <cfRule type="expression" dxfId="25" priority="27" stopIfTrue="1">
      <formula>AND($A437&lt;&gt;"COMPOSIÇÃO",$A437&lt;&gt;"INSUMO",$A437&lt;&gt;"")</formula>
    </cfRule>
    <cfRule type="expression" dxfId="24" priority="28" stopIfTrue="1">
      <formula>AND(OR($A437="COMPOSIÇÃO",$A437="INSUMO",$A437&lt;&gt;""),$A437&lt;&gt;"")</formula>
    </cfRule>
  </conditionalFormatting>
  <conditionalFormatting sqref="B450:E451 B454:C454 E454 B453:E453 B452:C452 E452">
    <cfRule type="expression" dxfId="23" priority="23" stopIfTrue="1">
      <formula>AND($A450&lt;&gt;"COMPOSIÇÃO",$A450&lt;&gt;"INSUMO",$A450&lt;&gt;"")</formula>
    </cfRule>
    <cfRule type="expression" dxfId="22" priority="24" stopIfTrue="1">
      <formula>AND(OR($A450="COMPOSIÇÃO",$A450="INSUMO",$A450&lt;&gt;""),$A450&lt;&gt;"")</formula>
    </cfRule>
  </conditionalFormatting>
  <conditionalFormatting sqref="C443:D443">
    <cfRule type="expression" dxfId="21" priority="21" stopIfTrue="1">
      <formula>AND($A443&lt;&gt;"COMPOSIÇÃO",$A443&lt;&gt;"INSUMO",$A443&lt;&gt;"")</formula>
    </cfRule>
    <cfRule type="expression" dxfId="20" priority="22" stopIfTrue="1">
      <formula>AND(OR($A443="COMPOSIÇÃO",$A443="INSUMO",$A443&lt;&gt;""),$A443&lt;&gt;"")</formula>
    </cfRule>
  </conditionalFormatting>
  <conditionalFormatting sqref="D454">
    <cfRule type="expression" dxfId="19" priority="19" stopIfTrue="1">
      <formula>AND($A454&lt;&gt;"COMPOSIÇÃO",$A454&lt;&gt;"INSUMO",$A454&lt;&gt;"")</formula>
    </cfRule>
    <cfRule type="expression" dxfId="18" priority="20" stopIfTrue="1">
      <formula>AND(OR($A454="COMPOSIÇÃO",$A454="INSUMO",$A454&lt;&gt;""),$A454&lt;&gt;"")</formula>
    </cfRule>
  </conditionalFormatting>
  <conditionalFormatting sqref="F448:F449">
    <cfRule type="expression" dxfId="17" priority="17" stopIfTrue="1">
      <formula>AND($A448&lt;&gt;"COMPOSIÇÃO",$A448&lt;&gt;"INSUMO",$A448&lt;&gt;"")</formula>
    </cfRule>
    <cfRule type="expression" dxfId="16" priority="18" stopIfTrue="1">
      <formula>AND(OR($A448="COMPOSIÇÃO",$A448="INSUMO",$A448&lt;&gt;""),$A448&lt;&gt;"")</formula>
    </cfRule>
  </conditionalFormatting>
  <conditionalFormatting sqref="F450:F454">
    <cfRule type="expression" dxfId="15" priority="15" stopIfTrue="1">
      <formula>AND($A450&lt;&gt;"COMPOSIÇÃO",$A450&lt;&gt;"INSUMO",$A450&lt;&gt;"")</formula>
    </cfRule>
    <cfRule type="expression" dxfId="14" priority="16" stopIfTrue="1">
      <formula>AND(OR($A450="COMPOSIÇÃO",$A450="INSUMO",$A450&lt;&gt;""),$A450&lt;&gt;"")</formula>
    </cfRule>
  </conditionalFormatting>
  <conditionalFormatting sqref="D452">
    <cfRule type="expression" dxfId="13" priority="13" stopIfTrue="1">
      <formula>AND($A452&lt;&gt;"COMPOSIÇÃO",$A452&lt;&gt;"INSUMO",$A452&lt;&gt;"")</formula>
    </cfRule>
    <cfRule type="expression" dxfId="12" priority="14" stopIfTrue="1">
      <formula>AND(OR($A452="COMPOSIÇÃO",$A452="INSUMO",$A452&lt;&gt;""),$A452&lt;&gt;"")</formula>
    </cfRule>
  </conditionalFormatting>
  <conditionalFormatting sqref="F459:F460">
    <cfRule type="expression" dxfId="11" priority="7" stopIfTrue="1">
      <formula>AND($A459&lt;&gt;"COMPOSICAO",$A459&lt;&gt;"INSUMO",$A459&lt;&gt;"")</formula>
    </cfRule>
    <cfRule type="expression" dxfId="10" priority="8" stopIfTrue="1">
      <formula>AND(OR($A459="COMPOSICAO",$A459="INSUMO",$A459&lt;&gt;""),$A459&lt;&gt;"")</formula>
    </cfRule>
  </conditionalFormatting>
  <conditionalFormatting sqref="C461:D461">
    <cfRule type="expression" dxfId="9" priority="11" stopIfTrue="1">
      <formula>AND($A461&lt;&gt;"COMPOSICAO",$A461&lt;&gt;"INSUMO",$A461&lt;&gt;"")</formula>
    </cfRule>
    <cfRule type="expression" dxfId="8" priority="12" stopIfTrue="1">
      <formula>AND(OR($A461="COMPOSICAO",$A461="INSUMO",$A461&lt;&gt;""),$A461&lt;&gt;"")</formula>
    </cfRule>
  </conditionalFormatting>
  <conditionalFormatting sqref="F461">
    <cfRule type="expression" dxfId="7" priority="9" stopIfTrue="1">
      <formula>AND($A461&lt;&gt;"COMPOSIÇÃO",$A461&lt;&gt;"INSUMO",$A461&lt;&gt;"")</formula>
    </cfRule>
    <cfRule type="expression" dxfId="6" priority="10" stopIfTrue="1">
      <formula>AND(OR($A461="COMPOSIÇÃO",$A461="INSUMO",$A461&lt;&gt;""),$A461&lt;&gt;"")</formula>
    </cfRule>
  </conditionalFormatting>
  <conditionalFormatting sqref="C136:D136">
    <cfRule type="expression" dxfId="5" priority="5" stopIfTrue="1">
      <formula>AND($A136&lt;&gt;"COMPOSICAO",$A136&lt;&gt;"INSUMO",$A136&lt;&gt;"")</formula>
    </cfRule>
    <cfRule type="expression" dxfId="4" priority="6" stopIfTrue="1">
      <formula>AND(OR($A136="COMPOSICAO",$A136="INSUMO",$A136&lt;&gt;""),$A136&lt;&gt;"")</formula>
    </cfRule>
  </conditionalFormatting>
  <conditionalFormatting sqref="C147:D147">
    <cfRule type="expression" dxfId="3" priority="3" stopIfTrue="1">
      <formula>AND($A147&lt;&gt;"COMPOSICAO",$A147&lt;&gt;"INSUMO",$A147&lt;&gt;"")</formula>
    </cfRule>
    <cfRule type="expression" dxfId="2" priority="4" stopIfTrue="1">
      <formula>AND(OR($A147="COMPOSICAO",$A147="INSUMO",$A147&lt;&gt;""),$A147&lt;&gt;"")</formula>
    </cfRule>
  </conditionalFormatting>
  <conditionalFormatting sqref="B197">
    <cfRule type="expression" dxfId="1" priority="1" stopIfTrue="1">
      <formula>AND($A197&lt;&gt;"COMPOSICAO",$A197&lt;&gt;"INSUMO",$A197&lt;&gt;"")</formula>
    </cfRule>
    <cfRule type="expression" dxfId="0" priority="2" stopIfTrue="1">
      <formula>AND(OR($A197="COMPOSICAO",$A197="INSUMO",$A197&lt;&gt;""),$A197&lt;&gt;"")</formula>
    </cfRule>
  </conditionalFormatting>
  <printOptions horizontalCentered="1"/>
  <pageMargins left="0.31496062992125984" right="0.31496062992125984" top="0.39370078740157483" bottom="0.39370078740157483" header="0.31496062992125984" footer="0.31496062992125984"/>
  <pageSetup paperSize="9" scale="65" orientation="portrait" r:id="rId1"/>
  <ignoredErrors>
    <ignoredError sqref="G144"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10</vt:i4>
      </vt:variant>
    </vt:vector>
  </HeadingPairs>
  <TitlesOfParts>
    <vt:vector size="22" baseType="lpstr">
      <vt:lpstr>RESUMO</vt:lpstr>
      <vt:lpstr>COTAÇÕES</vt:lpstr>
      <vt:lpstr>BDI</vt:lpstr>
      <vt:lpstr>MEMO CÁLCULO</vt:lpstr>
      <vt:lpstr>PLANILHA ORÇAMENTÁRIA</vt:lpstr>
      <vt:lpstr>PMA CIV</vt:lpstr>
      <vt:lpstr>PMA ESQ</vt:lpstr>
      <vt:lpstr>PMA HID</vt:lpstr>
      <vt:lpstr>PMA ELE</vt:lpstr>
      <vt:lpstr>CRONOGRAMA</vt:lpstr>
      <vt:lpstr>Plan1</vt:lpstr>
      <vt:lpstr>Plan2</vt:lpstr>
      <vt:lpstr>BDI!Area_de_impressao</vt:lpstr>
      <vt:lpstr>COTAÇÕES!Area_de_impressao</vt:lpstr>
      <vt:lpstr>CRONOGRAMA!Area_de_impressao</vt:lpstr>
      <vt:lpstr>'MEMO CÁLCULO'!Area_de_impressao</vt:lpstr>
      <vt:lpstr>'PLANILHA ORÇAMENTÁRIA'!Area_de_impressao</vt:lpstr>
      <vt:lpstr>'PMA CIV'!Area_de_impressao</vt:lpstr>
      <vt:lpstr>'PMA ELE'!Area_de_impressao</vt:lpstr>
      <vt:lpstr>'PMA ESQ'!Area_de_impressao</vt:lpstr>
      <vt:lpstr>'PMA HID'!Area_de_impressao</vt:lpstr>
      <vt:lpstr>RESUMO!Area_de_impressao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Mayume Aleixo dos Santos</dc:creator>
  <cp:keywords>Eng. Civil CREA-MT 38669</cp:keywords>
  <cp:lastModifiedBy>FLAVIA</cp:lastModifiedBy>
  <cp:lastPrinted>2023-04-06T13:16:18Z</cp:lastPrinted>
  <dcterms:created xsi:type="dcterms:W3CDTF">2021-04-12T19:54:01Z</dcterms:created>
  <dcterms:modified xsi:type="dcterms:W3CDTF">2023-04-06T13:17:29Z</dcterms:modified>
</cp:coreProperties>
</file>